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22980" windowHeight="10056"/>
  </bookViews>
  <sheets>
    <sheet name="Lisboa" sheetId="1" r:id="rId1"/>
    <sheet name="Porto" sheetId="2" r:id="rId2"/>
    <sheet name="Ranking" sheetId="3" r:id="rId3"/>
    <sheet name="CO2 direct emission factors" sheetId="4" r:id="rId4"/>
  </sheets>
  <calcPr calcId="145621"/>
</workbook>
</file>

<file path=xl/calcChain.xml><?xml version="1.0" encoding="utf-8"?>
<calcChain xmlns="http://schemas.openxmlformats.org/spreadsheetml/2006/main">
  <c r="J38" i="1" l="1"/>
  <c r="J37" i="1"/>
  <c r="J36" i="2"/>
  <c r="H36" i="2"/>
  <c r="J35" i="2"/>
  <c r="H35" i="2"/>
  <c r="B52" i="1"/>
  <c r="H32" i="1"/>
  <c r="L11" i="1"/>
  <c r="K11" i="1"/>
  <c r="D29" i="3" l="1"/>
  <c r="D22" i="3"/>
  <c r="D28" i="3"/>
  <c r="D21" i="3"/>
  <c r="D27" i="3"/>
  <c r="D20" i="3"/>
  <c r="C47" i="2"/>
  <c r="D47" i="2"/>
  <c r="B47" i="2"/>
  <c r="N19" i="2"/>
  <c r="O19" i="2" s="1"/>
  <c r="H33" i="2" s="1"/>
  <c r="N18" i="2"/>
  <c r="O18" i="2" s="1"/>
  <c r="H34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F36" i="2"/>
  <c r="F35" i="2"/>
  <c r="C32" i="2"/>
  <c r="C31" i="2"/>
  <c r="O6" i="2"/>
  <c r="H40" i="1"/>
  <c r="H33" i="1"/>
  <c r="J33" i="1" s="1"/>
  <c r="C33" i="1"/>
  <c r="K21" i="1"/>
  <c r="L21" i="1" s="1"/>
  <c r="H35" i="1" s="1"/>
  <c r="K20" i="1"/>
  <c r="L20" i="1" s="1"/>
  <c r="H36" i="1" s="1"/>
  <c r="K16" i="1"/>
  <c r="L16" i="1" s="1"/>
  <c r="H38" i="1" s="1"/>
  <c r="K15" i="1"/>
  <c r="L15" i="1" s="1"/>
  <c r="H37" i="1" s="1"/>
  <c r="L12" i="1"/>
  <c r="K14" i="1"/>
  <c r="L14" i="1" s="1"/>
  <c r="B53" i="1" s="1"/>
  <c r="K13" i="1"/>
  <c r="L13" i="1" s="1"/>
  <c r="K12" i="1"/>
  <c r="L8" i="1"/>
  <c r="C34" i="1"/>
  <c r="H34" i="1" s="1"/>
  <c r="J34" i="1" s="1"/>
  <c r="F38" i="1"/>
  <c r="F37" i="1"/>
  <c r="H31" i="2" l="1"/>
  <c r="J31" i="2" s="1"/>
  <c r="B51" i="2"/>
  <c r="H30" i="2"/>
  <c r="J30" i="2" s="1"/>
  <c r="B50" i="2"/>
  <c r="H32" i="2"/>
  <c r="J32" i="2" s="1"/>
  <c r="B52" i="2"/>
  <c r="H39" i="1"/>
  <c r="J32" i="1"/>
  <c r="J39" i="1" s="1"/>
  <c r="J40" i="1" s="1"/>
  <c r="B41" i="1" s="1"/>
  <c r="D23" i="3" s="1"/>
  <c r="B54" i="1"/>
  <c r="B59" i="1" s="1"/>
  <c r="D59" i="1" s="1"/>
  <c r="B57" i="2" l="1"/>
  <c r="D57" i="2" s="1"/>
  <c r="D26" i="3" s="1"/>
  <c r="D24" i="3"/>
  <c r="D19" i="3"/>
  <c r="H37" i="2"/>
  <c r="H38" i="2" s="1"/>
  <c r="J37" i="2"/>
  <c r="J38" i="2" s="1"/>
  <c r="B39" i="2" l="1"/>
  <c r="D30" i="3" s="1"/>
  <c r="D31" i="3" s="1"/>
</calcChain>
</file>

<file path=xl/sharedStrings.xml><?xml version="1.0" encoding="utf-8"?>
<sst xmlns="http://schemas.openxmlformats.org/spreadsheetml/2006/main" count="238" uniqueCount="98">
  <si>
    <t>Bus</t>
  </si>
  <si>
    <t>Car</t>
  </si>
  <si>
    <t>Motorbike</t>
  </si>
  <si>
    <t>Bike</t>
  </si>
  <si>
    <t>Walk</t>
  </si>
  <si>
    <t>Train</t>
  </si>
  <si>
    <t>Capita</t>
  </si>
  <si>
    <t>MJ/pkm</t>
  </si>
  <si>
    <t>MJ/km</t>
  </si>
  <si>
    <t>Fuel</t>
  </si>
  <si>
    <t>petrol</t>
  </si>
  <si>
    <t>diesel</t>
  </si>
  <si>
    <t>food</t>
  </si>
  <si>
    <t>electricity</t>
  </si>
  <si>
    <t>subway</t>
  </si>
  <si>
    <t>Source</t>
  </si>
  <si>
    <t>fossil</t>
  </si>
  <si>
    <t>biomass</t>
  </si>
  <si>
    <t>Mio</t>
  </si>
  <si>
    <t>Petrol</t>
  </si>
  <si>
    <t>g/MJ</t>
  </si>
  <si>
    <t>Diesel</t>
  </si>
  <si>
    <t>PM10</t>
  </si>
  <si>
    <t>NOx</t>
  </si>
  <si>
    <t>Lisboa Entrecampos</t>
  </si>
  <si>
    <t>Lisboa Avenida da Liberdade</t>
  </si>
  <si>
    <t>NA</t>
  </si>
  <si>
    <t>Lisboa Santa Cruz de Benfica</t>
  </si>
  <si>
    <t>Odivelas Odivelas-Ramada</t>
  </si>
  <si>
    <t>Average</t>
  </si>
  <si>
    <t>O3</t>
  </si>
  <si>
    <t>Scale</t>
  </si>
  <si>
    <t>Indicator</t>
  </si>
  <si>
    <t>Weight</t>
  </si>
  <si>
    <t>Definition</t>
  </si>
  <si>
    <t>CO2</t>
  </si>
  <si>
    <t>emissions from commuting in kg/capita/year (non-biogenic)</t>
  </si>
  <si>
    <t>Annual hourly arithmetic average</t>
  </si>
  <si>
    <t>Energy</t>
  </si>
  <si>
    <t>% fossil final energy consumption</t>
  </si>
  <si>
    <t>Min</t>
  </si>
  <si>
    <t>Max</t>
  </si>
  <si>
    <t>Lisboa</t>
  </si>
  <si>
    <t>Porto</t>
  </si>
  <si>
    <t>Air quality</t>
  </si>
  <si>
    <t>Climate change</t>
  </si>
  <si>
    <t>Survey</t>
  </si>
  <si>
    <t>Total</t>
  </si>
  <si>
    <t>Quadro 6</t>
  </si>
  <si>
    <t>Deslocações por tipo de dia e meio de transporte principal da deslocação</t>
  </si>
  <si>
    <t>AM Lisboa</t>
  </si>
  <si>
    <t>Deslocações</t>
  </si>
  <si>
    <t>Total semanal</t>
  </si>
  <si>
    <t>Dias úteis</t>
  </si>
  <si>
    <t>SDF a)</t>
  </si>
  <si>
    <t>Transporte individual</t>
  </si>
  <si>
    <t>Automóvel - condutor</t>
  </si>
  <si>
    <t>Automóvel - passageiro</t>
  </si>
  <si>
    <t>Motociclo/ciclomotor</t>
  </si>
  <si>
    <t>Transporte público ou coletivo</t>
  </si>
  <si>
    <t>Dos quais:</t>
  </si>
  <si>
    <t>Autocarro</t>
  </si>
  <si>
    <t>Comboio</t>
  </si>
  <si>
    <t>Metropolitano</t>
  </si>
  <si>
    <t>Modos suaves (a pé e bicicleta)</t>
  </si>
  <si>
    <t>Outro/desconhecido</t>
  </si>
  <si>
    <t>a) SDF - Sábados, domingos e Feriados</t>
  </si>
  <si>
    <t>Unidade:10^3</t>
  </si>
  <si>
    <t>Quadro 9</t>
  </si>
  <si>
    <t>Tempo e distância por deslocação, segundo o principal meio de transporte das deslocações</t>
  </si>
  <si>
    <t>Duração média (minutos)</t>
  </si>
  <si>
    <t>Distância média (km)</t>
  </si>
  <si>
    <t>Autocarro (transporte público)</t>
  </si>
  <si>
    <t>Barco</t>
  </si>
  <si>
    <t>Táxi</t>
  </si>
  <si>
    <t>Transporte escolar / empresa</t>
  </si>
  <si>
    <t>A pé</t>
  </si>
  <si>
    <t>Bicicleta</t>
  </si>
  <si>
    <t>Nota: Exclui as deslocações internacionais</t>
  </si>
  <si>
    <t>day</t>
  </si>
  <si>
    <t>km/year</t>
  </si>
  <si>
    <t>km/week</t>
  </si>
  <si>
    <t>weeks</t>
  </si>
  <si>
    <t>non-biogenic</t>
  </si>
  <si>
    <t>ton/year</t>
  </si>
  <si>
    <t>bike/ walk partition</t>
  </si>
  <si>
    <t>Ton/capita/year</t>
  </si>
  <si>
    <t>Fossil</t>
  </si>
  <si>
    <t>MJ/year</t>
  </si>
  <si>
    <t>Total fossil</t>
  </si>
  <si>
    <t>Fossil/</t>
  </si>
  <si>
    <t>%</t>
  </si>
  <si>
    <t>AM Porto</t>
  </si>
  <si>
    <r>
      <t>Unidade:10</t>
    </r>
    <r>
      <rPr>
        <vertAlign val="superscript"/>
        <sz val="8"/>
        <color indexed="8"/>
        <rFont val="Calibri"/>
        <family val="2"/>
      </rPr>
      <t>3</t>
    </r>
  </si>
  <si>
    <r>
      <t>Modos suaves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(a pé e bicicleta)</t>
    </r>
  </si>
  <si>
    <t>Maia D.Manuel II-Vermoim</t>
  </si>
  <si>
    <t>Matosinhos João Gomes Laranjo-S.Hora</t>
  </si>
  <si>
    <t>Porto Francisco Sá Carneiro-Campanha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</si>
</sst>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\-#,##0.0\ "/>
    <numFmt numFmtId="165" formatCode="_-* #,##0.0\ _€_-;\-* #,##0.0\ _€_-;_-* &quot;-&quot;??\ _€_-;_-@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3" tint="0.59996337778862885"/>
      </bottom>
      <diagonal/>
    </border>
    <border>
      <left/>
      <right/>
      <top/>
      <bottom style="double">
        <color theme="3" tint="0.59996337778862885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4" fontId="0" fillId="2" borderId="0" xfId="0" applyNumberFormat="1" applyFill="1"/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2" fillId="5" borderId="0" xfId="0" applyFont="1" applyFill="1"/>
    <xf numFmtId="0" fontId="0" fillId="6" borderId="0" xfId="0" applyFill="1"/>
    <xf numFmtId="0" fontId="2" fillId="6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165" fontId="4" fillId="2" borderId="5" xfId="3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left"/>
    </xf>
    <xf numFmtId="164" fontId="4" fillId="2" borderId="9" xfId="4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 indent="1"/>
    </xf>
    <xf numFmtId="165" fontId="8" fillId="2" borderId="0" xfId="3" applyNumberFormat="1" applyFont="1" applyFill="1" applyBorder="1" applyAlignment="1">
      <alignment horizontal="center" vertical="center"/>
    </xf>
    <xf numFmtId="43" fontId="0" fillId="2" borderId="0" xfId="0" applyNumberFormat="1" applyFill="1"/>
    <xf numFmtId="0" fontId="14" fillId="2" borderId="0" xfId="2" applyFont="1" applyFill="1" applyBorder="1" applyAlignment="1"/>
    <xf numFmtId="164" fontId="4" fillId="2" borderId="0" xfId="4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left" indent="1"/>
    </xf>
    <xf numFmtId="164" fontId="8" fillId="2" borderId="0" xfId="4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indent="1"/>
    </xf>
    <xf numFmtId="0" fontId="7" fillId="2" borderId="0" xfId="2" applyFont="1" applyFill="1" applyBorder="1" applyAlignment="1">
      <alignment horizontal="left" indent="2"/>
    </xf>
    <xf numFmtId="0" fontId="15" fillId="2" borderId="6" xfId="2" applyFont="1" applyFill="1" applyBorder="1" applyAlignment="1"/>
    <xf numFmtId="164" fontId="4" fillId="2" borderId="6" xfId="4" applyNumberFormat="1" applyFont="1" applyFill="1" applyBorder="1" applyAlignment="1">
      <alignment horizontal="right" vertical="center"/>
    </xf>
    <xf numFmtId="0" fontId="13" fillId="2" borderId="6" xfId="1" applyFont="1" applyFill="1" applyBorder="1" applyAlignment="1"/>
    <xf numFmtId="165" fontId="8" fillId="2" borderId="6" xfId="3" applyNumberFormat="1" applyFont="1" applyFill="1" applyBorder="1" applyAlignment="1">
      <alignment horizontal="center"/>
    </xf>
    <xf numFmtId="0" fontId="8" fillId="2" borderId="0" xfId="0" applyFont="1" applyFill="1"/>
    <xf numFmtId="0" fontId="13" fillId="2" borderId="0" xfId="2" applyFont="1" applyFill="1" applyBorder="1" applyAlignment="1">
      <alignment vertical="center"/>
    </xf>
    <xf numFmtId="43" fontId="0" fillId="3" borderId="0" xfId="0" applyNumberFormat="1" applyFill="1"/>
    <xf numFmtId="0" fontId="2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3" fontId="0" fillId="4" borderId="0" xfId="0" applyNumberFormat="1" applyFill="1"/>
  </cellXfs>
  <cellStyles count="5">
    <cellStyle name="Comma 2" xfId="3"/>
    <cellStyle name="Comma_Porto" xfId="4"/>
    <cellStyle name="Normal" xfId="0" builtinId="0"/>
    <cellStyle name="Normal_Sheet1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207758</xdr:colOff>
      <xdr:row>7</xdr:row>
      <xdr:rowOff>91527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5694158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28" workbookViewId="0">
      <selection activeCell="J44" sqref="J44"/>
    </sheetView>
  </sheetViews>
  <sheetFormatPr defaultRowHeight="14.4" x14ac:dyDescent="0.3"/>
  <cols>
    <col min="1" max="1" width="24.5546875" bestFit="1" customWidth="1"/>
    <col min="2" max="2" width="10" bestFit="1" customWidth="1"/>
    <col min="7" max="7" width="50.44140625" customWidth="1"/>
    <col min="8" max="8" width="21.77734375" bestFit="1" customWidth="1"/>
    <col min="9" max="9" width="18.109375" bestFit="1" customWidth="1"/>
    <col min="10" max="10" width="12" bestFit="1" customWidth="1"/>
    <col min="11" max="11" width="10" bestFit="1" customWidth="1"/>
    <col min="12" max="12" width="11" bestFit="1" customWidth="1"/>
  </cols>
  <sheetData>
    <row r="1" spans="1:13" x14ac:dyDescent="0.3">
      <c r="A1" s="1" t="s">
        <v>46</v>
      </c>
    </row>
    <row r="2" spans="1:13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3">
      <c r="A3" s="4" t="s">
        <v>48</v>
      </c>
      <c r="B3" s="4"/>
      <c r="C3" s="4"/>
      <c r="D3" s="4"/>
      <c r="E3" s="4"/>
      <c r="F3" s="4"/>
      <c r="G3" s="4" t="s">
        <v>68</v>
      </c>
      <c r="H3" s="4"/>
      <c r="I3" s="4"/>
      <c r="J3" s="4"/>
      <c r="K3" s="4"/>
      <c r="L3" s="4"/>
      <c r="M3" s="4"/>
    </row>
    <row r="4" spans="1:13" x14ac:dyDescent="0.3">
      <c r="A4" s="4" t="s">
        <v>49</v>
      </c>
      <c r="B4" s="4"/>
      <c r="C4" s="4"/>
      <c r="D4" s="4"/>
      <c r="E4" s="4"/>
      <c r="F4" s="4"/>
      <c r="G4" s="4" t="s">
        <v>69</v>
      </c>
      <c r="H4" s="4"/>
      <c r="I4" s="4"/>
      <c r="J4" s="4"/>
      <c r="K4" s="4"/>
      <c r="L4" s="4"/>
      <c r="M4" s="4"/>
    </row>
    <row r="5" spans="1:13" x14ac:dyDescent="0.3">
      <c r="A5" s="4" t="s">
        <v>50</v>
      </c>
      <c r="B5" s="4"/>
      <c r="C5" s="4"/>
      <c r="D5" s="4"/>
      <c r="E5" s="4"/>
      <c r="F5" s="4"/>
      <c r="G5" s="4" t="s">
        <v>50</v>
      </c>
      <c r="H5" s="4"/>
      <c r="I5" s="4"/>
      <c r="J5" s="4"/>
      <c r="K5" s="4"/>
      <c r="L5" s="4"/>
      <c r="M5" s="4"/>
    </row>
    <row r="6" spans="1:13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4"/>
      <c r="B7" s="4"/>
      <c r="C7" s="4"/>
      <c r="D7" s="4" t="s">
        <v>67</v>
      </c>
      <c r="E7" s="4"/>
      <c r="F7" s="4"/>
      <c r="G7" s="4"/>
      <c r="H7" s="4"/>
      <c r="I7" s="4"/>
      <c r="J7" s="4"/>
      <c r="K7" s="4" t="s">
        <v>82</v>
      </c>
      <c r="L7" s="4"/>
      <c r="M7" s="4"/>
    </row>
    <row r="8" spans="1:13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>
        <v>48</v>
      </c>
      <c r="L8" s="4">
        <f>48*5</f>
        <v>240</v>
      </c>
      <c r="M8" s="4" t="s">
        <v>79</v>
      </c>
    </row>
    <row r="9" spans="1:13" x14ac:dyDescent="0.3">
      <c r="A9" s="4"/>
      <c r="B9" s="4" t="s">
        <v>51</v>
      </c>
      <c r="C9" s="4"/>
      <c r="D9" s="4"/>
      <c r="E9" s="4"/>
      <c r="F9" s="4"/>
      <c r="G9" s="4"/>
      <c r="H9" s="4" t="s">
        <v>70</v>
      </c>
      <c r="I9" s="5" t="s">
        <v>71</v>
      </c>
      <c r="J9" s="4"/>
      <c r="K9" s="4" t="s">
        <v>81</v>
      </c>
      <c r="L9" s="4" t="s">
        <v>80</v>
      </c>
      <c r="M9" s="4"/>
    </row>
    <row r="10" spans="1:13" x14ac:dyDescent="0.3">
      <c r="A10" s="4"/>
      <c r="B10" s="4" t="s">
        <v>52</v>
      </c>
      <c r="C10" s="5" t="s">
        <v>53</v>
      </c>
      <c r="D10" s="4" t="s">
        <v>54</v>
      </c>
      <c r="E10" s="4"/>
      <c r="F10" s="4"/>
      <c r="G10" s="5" t="s">
        <v>50</v>
      </c>
      <c r="H10" s="4">
        <v>24.3</v>
      </c>
      <c r="I10" s="4">
        <v>10.3</v>
      </c>
      <c r="J10" s="4"/>
      <c r="K10" s="4"/>
      <c r="L10" s="4"/>
      <c r="M10" s="4"/>
    </row>
    <row r="11" spans="1:13" x14ac:dyDescent="0.3">
      <c r="A11" s="5" t="s">
        <v>50</v>
      </c>
      <c r="B11" s="6">
        <v>37697.1</v>
      </c>
      <c r="C11" s="6">
        <v>27439.7</v>
      </c>
      <c r="D11" s="6">
        <v>10257.4</v>
      </c>
      <c r="E11" s="4"/>
      <c r="F11" s="4"/>
      <c r="G11" s="4" t="s">
        <v>56</v>
      </c>
      <c r="H11" s="4">
        <v>21.7</v>
      </c>
      <c r="I11" s="4">
        <v>12.7</v>
      </c>
      <c r="J11" s="4"/>
      <c r="K11" s="4">
        <f>C13*10^3*I11</f>
        <v>156646880</v>
      </c>
      <c r="L11" s="4">
        <f>K11*$K$8</f>
        <v>7519050240</v>
      </c>
      <c r="M11" s="4"/>
    </row>
    <row r="12" spans="1:13" x14ac:dyDescent="0.3">
      <c r="A12" s="4" t="s">
        <v>55</v>
      </c>
      <c r="B12" s="6">
        <v>22542.400000000001</v>
      </c>
      <c r="C12" s="6">
        <v>15715.5</v>
      </c>
      <c r="D12" s="6">
        <v>6826.9</v>
      </c>
      <c r="E12" s="4"/>
      <c r="F12" s="4"/>
      <c r="G12" s="4" t="s">
        <v>57</v>
      </c>
      <c r="H12" s="4">
        <v>20.8</v>
      </c>
      <c r="I12" s="4">
        <v>13.3</v>
      </c>
      <c r="J12" s="4"/>
      <c r="K12" s="4">
        <f>C14*10^3*I12</f>
        <v>41365660</v>
      </c>
      <c r="L12" s="4">
        <f t="shared" ref="L12:L16" si="0">K12*$K$8</f>
        <v>1985551680</v>
      </c>
      <c r="M12" s="4"/>
    </row>
    <row r="13" spans="1:13" x14ac:dyDescent="0.3">
      <c r="A13" s="4" t="s">
        <v>56</v>
      </c>
      <c r="B13" s="6">
        <v>17326.3</v>
      </c>
      <c r="C13" s="6">
        <v>12334.4</v>
      </c>
      <c r="D13" s="6">
        <v>4992</v>
      </c>
      <c r="E13" s="4"/>
      <c r="F13" s="4"/>
      <c r="G13" s="4" t="s">
        <v>58</v>
      </c>
      <c r="H13" s="4">
        <v>18</v>
      </c>
      <c r="I13" s="4">
        <v>11.7</v>
      </c>
      <c r="J13" s="4"/>
      <c r="K13" s="4">
        <f>C15*10^3*I13</f>
        <v>3169530</v>
      </c>
      <c r="L13" s="4">
        <f t="shared" si="0"/>
        <v>152137440</v>
      </c>
      <c r="M13" s="4"/>
    </row>
    <row r="14" spans="1:13" x14ac:dyDescent="0.3">
      <c r="A14" s="4" t="s">
        <v>57</v>
      </c>
      <c r="B14" s="6">
        <v>4884.7</v>
      </c>
      <c r="C14" s="6">
        <v>3110.2</v>
      </c>
      <c r="D14" s="6">
        <v>1774.5</v>
      </c>
      <c r="E14" s="4"/>
      <c r="F14" s="4"/>
      <c r="G14" s="4" t="s">
        <v>72</v>
      </c>
      <c r="H14" s="4">
        <v>45.7</v>
      </c>
      <c r="I14" s="4">
        <v>12.1</v>
      </c>
      <c r="J14" s="4"/>
      <c r="K14" s="4">
        <f>C18*10^3*I14</f>
        <v>29959600</v>
      </c>
      <c r="L14" s="4">
        <f t="shared" si="0"/>
        <v>1438060800</v>
      </c>
      <c r="M14" s="4"/>
    </row>
    <row r="15" spans="1:13" x14ac:dyDescent="0.3">
      <c r="A15" s="4" t="s">
        <v>58</v>
      </c>
      <c r="B15" s="4">
        <v>331.3</v>
      </c>
      <c r="C15" s="4">
        <v>270.89999999999998</v>
      </c>
      <c r="D15" s="4">
        <v>60.4</v>
      </c>
      <c r="E15" s="4"/>
      <c r="F15" s="4"/>
      <c r="G15" s="4" t="s">
        <v>62</v>
      </c>
      <c r="H15" s="4">
        <v>53.4</v>
      </c>
      <c r="I15" s="4">
        <v>19.100000000000001</v>
      </c>
      <c r="J15" s="4"/>
      <c r="K15" s="4">
        <f>C19*10^3*I15</f>
        <v>19711200</v>
      </c>
      <c r="L15" s="4">
        <f t="shared" si="0"/>
        <v>946137600</v>
      </c>
      <c r="M15" s="4"/>
    </row>
    <row r="16" spans="1:13" x14ac:dyDescent="0.3">
      <c r="A16" s="4" t="s">
        <v>59</v>
      </c>
      <c r="B16" s="6">
        <v>5939.5</v>
      </c>
      <c r="C16" s="6">
        <v>5056.6000000000004</v>
      </c>
      <c r="D16" s="4">
        <v>882.9</v>
      </c>
      <c r="E16" s="4"/>
      <c r="F16" s="4"/>
      <c r="G16" s="4" t="s">
        <v>63</v>
      </c>
      <c r="H16" s="4">
        <v>39.700000000000003</v>
      </c>
      <c r="I16" s="4">
        <v>8.5</v>
      </c>
      <c r="J16" s="4"/>
      <c r="K16" s="4">
        <f>C20*10^3*I16</f>
        <v>8624100</v>
      </c>
      <c r="L16" s="4">
        <f t="shared" si="0"/>
        <v>413956800</v>
      </c>
      <c r="M16" s="4"/>
    </row>
    <row r="17" spans="1:13" x14ac:dyDescent="0.3">
      <c r="A17" s="4" t="s">
        <v>60</v>
      </c>
      <c r="B17" s="4"/>
      <c r="C17" s="4"/>
      <c r="D17" s="4"/>
      <c r="E17" s="4"/>
      <c r="F17" s="4"/>
      <c r="G17" s="4" t="s">
        <v>73</v>
      </c>
      <c r="H17" s="4">
        <v>58.1</v>
      </c>
      <c r="I17" s="4">
        <v>19.5</v>
      </c>
      <c r="J17" s="4"/>
      <c r="K17" s="4"/>
      <c r="L17" s="4"/>
      <c r="M17" s="4"/>
    </row>
    <row r="18" spans="1:13" x14ac:dyDescent="0.3">
      <c r="A18" s="4" t="s">
        <v>61</v>
      </c>
      <c r="B18" s="6">
        <v>2945.9</v>
      </c>
      <c r="C18" s="6">
        <v>2476</v>
      </c>
      <c r="D18" s="4">
        <v>469.9</v>
      </c>
      <c r="E18" s="4"/>
      <c r="F18" s="4"/>
      <c r="G18" s="4" t="s">
        <v>74</v>
      </c>
      <c r="H18" s="4">
        <v>19.600000000000001</v>
      </c>
      <c r="I18" s="4">
        <v>6.4</v>
      </c>
      <c r="J18" s="4"/>
      <c r="K18" s="4"/>
      <c r="L18" s="4"/>
      <c r="M18" s="4"/>
    </row>
    <row r="19" spans="1:13" x14ac:dyDescent="0.3">
      <c r="A19" s="4" t="s">
        <v>62</v>
      </c>
      <c r="B19" s="6">
        <v>1215.7</v>
      </c>
      <c r="C19" s="6">
        <v>1032</v>
      </c>
      <c r="D19" s="4">
        <v>183.7</v>
      </c>
      <c r="E19" s="4"/>
      <c r="F19" s="4"/>
      <c r="G19" s="4" t="s">
        <v>75</v>
      </c>
      <c r="H19" s="4">
        <v>32.6</v>
      </c>
      <c r="I19" s="4">
        <v>17.2</v>
      </c>
      <c r="J19" s="4"/>
      <c r="K19" s="4"/>
      <c r="L19" s="4"/>
      <c r="M19" s="4"/>
    </row>
    <row r="20" spans="1:13" x14ac:dyDescent="0.3">
      <c r="A20" s="4" t="s">
        <v>63</v>
      </c>
      <c r="B20" s="6">
        <v>1167.8</v>
      </c>
      <c r="C20" s="6">
        <v>1014.6</v>
      </c>
      <c r="D20" s="4">
        <v>153.19999999999999</v>
      </c>
      <c r="E20" s="4"/>
      <c r="F20" s="4"/>
      <c r="G20" s="4" t="s">
        <v>76</v>
      </c>
      <c r="H20" s="4">
        <v>17</v>
      </c>
      <c r="I20" s="4">
        <v>1.5</v>
      </c>
      <c r="J20" s="4"/>
      <c r="K20" s="4">
        <f>$I$25*C21*I20</f>
        <v>4803.2250000000004</v>
      </c>
      <c r="L20" s="4">
        <f t="shared" ref="L20:L21" si="1">K20*$K$8</f>
        <v>230554.80000000002</v>
      </c>
      <c r="M20" s="4"/>
    </row>
    <row r="21" spans="1:13" x14ac:dyDescent="0.3">
      <c r="A21" s="4" t="s">
        <v>64</v>
      </c>
      <c r="B21" s="6">
        <v>8857.7000000000007</v>
      </c>
      <c r="C21" s="6">
        <v>6404.3</v>
      </c>
      <c r="D21" s="6">
        <v>2453.4</v>
      </c>
      <c r="E21" s="4"/>
      <c r="F21" s="4"/>
      <c r="G21" s="4" t="s">
        <v>77</v>
      </c>
      <c r="H21" s="4">
        <v>36.200000000000003</v>
      </c>
      <c r="I21" s="4">
        <v>8.8000000000000007</v>
      </c>
      <c r="J21" s="4"/>
      <c r="K21" s="4">
        <f>$I$25*C22*I21</f>
        <v>1158.96</v>
      </c>
      <c r="L21" s="4">
        <f t="shared" si="1"/>
        <v>55630.080000000002</v>
      </c>
      <c r="M21" s="4"/>
    </row>
    <row r="22" spans="1:13" x14ac:dyDescent="0.3">
      <c r="A22" s="4" t="s">
        <v>65</v>
      </c>
      <c r="B22" s="4">
        <v>357.4</v>
      </c>
      <c r="C22" s="4">
        <v>263.39999999999998</v>
      </c>
      <c r="D22" s="4">
        <v>94.1</v>
      </c>
      <c r="E22" s="4"/>
      <c r="F22" s="4"/>
      <c r="G22" s="4" t="s">
        <v>65</v>
      </c>
      <c r="H22" s="4">
        <v>31.7</v>
      </c>
      <c r="I22" s="4">
        <v>24.2</v>
      </c>
      <c r="J22" s="4"/>
      <c r="K22" s="4"/>
      <c r="L22" s="4"/>
      <c r="M22" s="4"/>
    </row>
    <row r="23" spans="1:1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">
      <c r="A25" s="4" t="s">
        <v>66</v>
      </c>
      <c r="B25" s="4"/>
      <c r="C25" s="4"/>
      <c r="D25" s="4"/>
      <c r="E25" s="4"/>
      <c r="F25" s="4"/>
      <c r="G25" s="4" t="s">
        <v>78</v>
      </c>
      <c r="H25" s="5" t="s">
        <v>85</v>
      </c>
      <c r="I25" s="5">
        <v>0.5</v>
      </c>
      <c r="J25" s="4"/>
      <c r="K25" s="4"/>
      <c r="L25" s="4"/>
      <c r="M25" s="4"/>
    </row>
    <row r="28" spans="1:13" x14ac:dyDescent="0.3">
      <c r="A28" s="1" t="s">
        <v>6</v>
      </c>
      <c r="B28">
        <v>2.57</v>
      </c>
      <c r="C28" t="s">
        <v>18</v>
      </c>
    </row>
    <row r="30" spans="1:13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3">
      <c r="A31" s="8" t="s">
        <v>38</v>
      </c>
      <c r="B31" s="8" t="s">
        <v>7</v>
      </c>
      <c r="C31" s="8" t="s">
        <v>8</v>
      </c>
      <c r="D31" s="8" t="s">
        <v>9</v>
      </c>
      <c r="E31" s="7"/>
      <c r="F31" s="8" t="s">
        <v>15</v>
      </c>
      <c r="G31" s="8"/>
      <c r="H31" s="8" t="s">
        <v>88</v>
      </c>
      <c r="I31" s="7"/>
      <c r="J31" s="8" t="s">
        <v>87</v>
      </c>
      <c r="K31" s="7"/>
      <c r="L31" s="7"/>
      <c r="M31" s="7"/>
    </row>
    <row r="32" spans="1:13" x14ac:dyDescent="0.3">
      <c r="A32" s="7" t="s">
        <v>2</v>
      </c>
      <c r="B32" s="7"/>
      <c r="C32" s="7">
        <v>1.54</v>
      </c>
      <c r="D32" s="7" t="s">
        <v>10</v>
      </c>
      <c r="E32" s="7"/>
      <c r="F32" s="7"/>
      <c r="G32" s="7" t="s">
        <v>16</v>
      </c>
      <c r="H32" s="7">
        <f>C32*L13</f>
        <v>234291657.59999999</v>
      </c>
      <c r="I32" s="7"/>
      <c r="J32" s="7">
        <f>H32</f>
        <v>234291657.59999999</v>
      </c>
      <c r="K32" s="7"/>
      <c r="L32" s="7"/>
      <c r="M32" s="7"/>
    </row>
    <row r="33" spans="1:13" x14ac:dyDescent="0.3">
      <c r="A33" s="7" t="s">
        <v>0</v>
      </c>
      <c r="B33" s="7">
        <v>1.6</v>
      </c>
      <c r="C33" s="7">
        <f>50*0.84*44/100</f>
        <v>18.48</v>
      </c>
      <c r="D33" s="7" t="s">
        <v>11</v>
      </c>
      <c r="E33" s="7"/>
      <c r="F33" s="7"/>
      <c r="G33" s="7" t="s">
        <v>16</v>
      </c>
      <c r="H33" s="7">
        <f>B33*L14</f>
        <v>2300897280</v>
      </c>
      <c r="I33" s="7"/>
      <c r="J33" s="7">
        <f>H33</f>
        <v>2300897280</v>
      </c>
      <c r="K33" s="7"/>
      <c r="L33" s="7"/>
      <c r="M33" s="7"/>
    </row>
    <row r="34" spans="1:13" x14ac:dyDescent="0.3">
      <c r="A34" s="7" t="s">
        <v>1</v>
      </c>
      <c r="B34" s="7"/>
      <c r="C34" s="7">
        <f>5.6*0.84*44/100</f>
        <v>2.06976</v>
      </c>
      <c r="D34" s="7" t="s">
        <v>11</v>
      </c>
      <c r="E34" s="7"/>
      <c r="F34" s="7"/>
      <c r="G34" s="7" t="s">
        <v>16</v>
      </c>
      <c r="H34" s="7">
        <f>C34*(L11+L12)</f>
        <v>19672244869.939201</v>
      </c>
      <c r="I34" s="7"/>
      <c r="J34" s="7">
        <f>H34</f>
        <v>19672244869.939201</v>
      </c>
      <c r="K34" s="7"/>
      <c r="L34" s="7"/>
      <c r="M34" s="7"/>
    </row>
    <row r="35" spans="1:13" x14ac:dyDescent="0.3">
      <c r="A35" s="7" t="s">
        <v>3</v>
      </c>
      <c r="B35" s="7">
        <v>0.06</v>
      </c>
      <c r="C35" s="7"/>
      <c r="D35" s="7" t="s">
        <v>12</v>
      </c>
      <c r="E35" s="7"/>
      <c r="F35" s="7"/>
      <c r="G35" s="7" t="s">
        <v>17</v>
      </c>
      <c r="H35" s="7">
        <f>B35*L21</f>
        <v>3337.8047999999999</v>
      </c>
      <c r="I35" s="7"/>
      <c r="J35" s="7">
        <v>0</v>
      </c>
      <c r="K35" s="7"/>
      <c r="L35" s="7"/>
      <c r="M35" s="7"/>
    </row>
    <row r="36" spans="1:13" x14ac:dyDescent="0.3">
      <c r="A36" s="7" t="s">
        <v>4</v>
      </c>
      <c r="B36" s="7">
        <v>0.16</v>
      </c>
      <c r="C36" s="7"/>
      <c r="D36" s="7" t="s">
        <v>12</v>
      </c>
      <c r="E36" s="7"/>
      <c r="F36" s="7"/>
      <c r="G36" s="7" t="s">
        <v>17</v>
      </c>
      <c r="H36" s="7">
        <f>B36*L20</f>
        <v>36888.768000000004</v>
      </c>
      <c r="I36" s="7"/>
      <c r="J36" s="7">
        <v>0</v>
      </c>
      <c r="K36" s="7"/>
      <c r="L36" s="7"/>
      <c r="M36" s="7"/>
    </row>
    <row r="37" spans="1:13" x14ac:dyDescent="0.3">
      <c r="A37" s="7" t="s">
        <v>5</v>
      </c>
      <c r="B37" s="7">
        <v>0.3</v>
      </c>
      <c r="C37" s="7"/>
      <c r="D37" s="7" t="s">
        <v>13</v>
      </c>
      <c r="E37" s="7"/>
      <c r="F37" s="7">
        <f>1-24309/59432</f>
        <v>0.59097792435051821</v>
      </c>
      <c r="G37" s="7" t="s">
        <v>16</v>
      </c>
      <c r="H37" s="7">
        <f>B37*L15</f>
        <v>283841280</v>
      </c>
      <c r="I37" s="7"/>
      <c r="J37" s="7">
        <f>F37*H37</f>
        <v>167743930.49939427</v>
      </c>
      <c r="K37" s="7"/>
      <c r="L37" s="7"/>
      <c r="M37" s="7"/>
    </row>
    <row r="38" spans="1:13" x14ac:dyDescent="0.3">
      <c r="A38" s="7" t="s">
        <v>14</v>
      </c>
      <c r="B38" s="7">
        <v>16.899999999999999</v>
      </c>
      <c r="C38" s="7"/>
      <c r="D38" s="7" t="s">
        <v>13</v>
      </c>
      <c r="E38" s="7"/>
      <c r="F38" s="7">
        <f>1-24309/59432</f>
        <v>0.59097792435051821</v>
      </c>
      <c r="G38" s="7" t="s">
        <v>16</v>
      </c>
      <c r="H38" s="7">
        <f>B38*L16</f>
        <v>6995869919.999999</v>
      </c>
      <c r="I38" s="7"/>
      <c r="J38" s="7">
        <f>F38*H38</f>
        <v>4134404684.3478255</v>
      </c>
      <c r="K38" s="7"/>
      <c r="L38" s="7"/>
      <c r="M38" s="7"/>
    </row>
    <row r="39" spans="1:13" x14ac:dyDescent="0.3">
      <c r="A39" s="7"/>
      <c r="B39" s="7"/>
      <c r="C39" s="7"/>
      <c r="D39" s="7"/>
      <c r="E39" s="7"/>
      <c r="F39" s="7"/>
      <c r="G39" s="7"/>
      <c r="H39" s="7">
        <f>SUM(H32:H38)</f>
        <v>29487185234.112</v>
      </c>
      <c r="I39" s="7"/>
      <c r="J39" s="7">
        <f>SUM(J32:J38)</f>
        <v>26509582422.386417</v>
      </c>
      <c r="K39" s="7"/>
      <c r="L39" s="7"/>
      <c r="M39" s="7"/>
    </row>
    <row r="40" spans="1:13" x14ac:dyDescent="0.3">
      <c r="A40" s="8" t="s">
        <v>90</v>
      </c>
      <c r="B40" s="7"/>
      <c r="C40" s="7"/>
      <c r="D40" s="7"/>
      <c r="E40" s="7"/>
      <c r="F40" s="7"/>
      <c r="G40" s="9" t="s">
        <v>47</v>
      </c>
      <c r="H40" s="8">
        <f>SUM(H32:H39)</f>
        <v>58974370468.223999</v>
      </c>
      <c r="I40" s="7" t="s">
        <v>89</v>
      </c>
      <c r="J40" s="8">
        <f>SUM(J32:J39)</f>
        <v>53019164844.772835</v>
      </c>
      <c r="K40" s="7"/>
      <c r="L40" s="7"/>
      <c r="M40" s="7"/>
    </row>
    <row r="41" spans="1:13" x14ac:dyDescent="0.3">
      <c r="A41" s="8" t="s">
        <v>47</v>
      </c>
      <c r="B41" s="7">
        <f>J40/H40*100</f>
        <v>89.902044606546681</v>
      </c>
      <c r="C41" s="7" t="s">
        <v>91</v>
      </c>
      <c r="D41" s="7"/>
      <c r="E41" s="7"/>
      <c r="F41" s="7"/>
      <c r="G41" s="7"/>
      <c r="H41" s="7"/>
      <c r="I41" s="7"/>
      <c r="J41" s="7"/>
      <c r="K41" s="7"/>
      <c r="L41" s="7"/>
      <c r="M41" s="7"/>
    </row>
    <row r="44" spans="1:13" x14ac:dyDescent="0.3">
      <c r="A44" s="1" t="s">
        <v>44</v>
      </c>
      <c r="B44" t="s">
        <v>22</v>
      </c>
      <c r="C44" t="s">
        <v>30</v>
      </c>
      <c r="D44" t="s">
        <v>23</v>
      </c>
    </row>
    <row r="45" spans="1:13" x14ac:dyDescent="0.3">
      <c r="A45" s="12" t="s">
        <v>24</v>
      </c>
      <c r="B45" s="12">
        <v>32.700000000000003</v>
      </c>
      <c r="C45" s="12">
        <v>44</v>
      </c>
      <c r="D45" s="12">
        <v>40.9</v>
      </c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3">
      <c r="A46" s="12" t="s">
        <v>25</v>
      </c>
      <c r="B46" s="12">
        <v>33.5</v>
      </c>
      <c r="C46" s="12" t="s">
        <v>26</v>
      </c>
      <c r="D46" s="12">
        <v>60.4</v>
      </c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3">
      <c r="A47" s="12" t="s">
        <v>27</v>
      </c>
      <c r="B47" s="12">
        <v>36.4</v>
      </c>
      <c r="C47" s="12" t="s">
        <v>26</v>
      </c>
      <c r="D47" s="12">
        <v>38.200000000000003</v>
      </c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3">
      <c r="A48" s="12" t="s">
        <v>28</v>
      </c>
      <c r="B48" s="12">
        <v>24.2</v>
      </c>
      <c r="C48" s="12" t="s">
        <v>26</v>
      </c>
      <c r="D48" s="12">
        <v>26.8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3">
      <c r="A49" s="13" t="s">
        <v>29</v>
      </c>
      <c r="B49" s="13">
        <v>31.7</v>
      </c>
      <c r="C49" s="13">
        <v>44</v>
      </c>
      <c r="D49" s="13">
        <v>41.6</v>
      </c>
      <c r="E49" s="12"/>
      <c r="F49" s="12"/>
      <c r="G49" s="12"/>
      <c r="H49" s="12"/>
      <c r="I49" s="12"/>
      <c r="J49" s="12"/>
      <c r="K49" s="12"/>
      <c r="L49" s="12"/>
      <c r="M49" s="12"/>
    </row>
    <row r="51" spans="1:13" x14ac:dyDescent="0.3">
      <c r="A51" s="1" t="s">
        <v>45</v>
      </c>
      <c r="B51" t="s">
        <v>84</v>
      </c>
      <c r="D51" s="1" t="s">
        <v>83</v>
      </c>
    </row>
    <row r="52" spans="1:13" x14ac:dyDescent="0.3">
      <c r="A52" s="10" t="s">
        <v>2</v>
      </c>
      <c r="B52" s="10">
        <f>C32*L13*'CO2 direct emission factors'!B3*10^-6</f>
        <v>16962.716010240001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10" t="s">
        <v>0</v>
      </c>
      <c r="B53" s="10">
        <f>B33*L14*'CO2 direct emission factors'!B4*10^-6</f>
        <v>161522.98905599999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10" t="s">
        <v>1</v>
      </c>
      <c r="B54" s="10">
        <f>C34*(L11+L12)*'CO2 direct emission factors'!B4*10^-6</f>
        <v>1380991.5898697318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">
      <c r="A55" s="10" t="s">
        <v>3</v>
      </c>
      <c r="B55" s="10">
        <v>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3">
      <c r="A56" s="10" t="s">
        <v>4</v>
      </c>
      <c r="B56" s="10">
        <v>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">
      <c r="A57" s="10" t="s">
        <v>5</v>
      </c>
      <c r="B57" s="10">
        <v>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3">
      <c r="A58" s="10" t="s">
        <v>14</v>
      </c>
      <c r="B58" s="10"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">
      <c r="A59" s="11" t="s">
        <v>47</v>
      </c>
      <c r="B59" s="10">
        <f>SUM(B52:B58)</f>
        <v>1559477.2949359717</v>
      </c>
      <c r="C59" s="10"/>
      <c r="D59" s="11">
        <f>B59/(B28*10^6)</f>
        <v>0.60680050386613682</v>
      </c>
      <c r="E59" s="11" t="s">
        <v>86</v>
      </c>
      <c r="F59" s="10"/>
      <c r="G59" s="10"/>
      <c r="H59" s="10"/>
      <c r="I59" s="10"/>
      <c r="J59" s="10"/>
      <c r="K59" s="10"/>
      <c r="L59" s="10"/>
      <c r="M59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6" workbookViewId="0">
      <selection activeCell="Q52" sqref="Q52"/>
    </sheetView>
  </sheetViews>
  <sheetFormatPr defaultRowHeight="14.4" x14ac:dyDescent="0.3"/>
  <cols>
    <col min="1" max="1" width="16.5546875" customWidth="1"/>
    <col min="2" max="2" width="12" bestFit="1" customWidth="1"/>
    <col min="8" max="8" width="16.33203125" bestFit="1" customWidth="1"/>
    <col min="9" max="9" width="16.88671875" bestFit="1" customWidth="1"/>
    <col min="10" max="10" width="16.33203125" bestFit="1" customWidth="1"/>
    <col min="14" max="14" width="13.88671875" bestFit="1" customWidth="1"/>
    <col min="15" max="15" width="16.33203125" bestFit="1" customWidth="1"/>
    <col min="16" max="16" width="12.77734375" bestFit="1" customWidth="1"/>
  </cols>
  <sheetData>
    <row r="1" spans="1:16" x14ac:dyDescent="0.3">
      <c r="A1" s="5" t="s">
        <v>48</v>
      </c>
      <c r="B1" s="5"/>
      <c r="C1" s="4"/>
      <c r="D1" s="4"/>
      <c r="E1" s="4"/>
      <c r="F1" s="4"/>
      <c r="G1" s="4"/>
      <c r="H1" s="4"/>
      <c r="I1" s="5" t="s">
        <v>68</v>
      </c>
      <c r="J1" s="4"/>
      <c r="K1" s="4"/>
      <c r="L1" s="4"/>
      <c r="M1" s="4"/>
      <c r="N1" s="4"/>
      <c r="O1" s="4"/>
      <c r="P1" s="4"/>
    </row>
    <row r="2" spans="1:16" x14ac:dyDescent="0.3">
      <c r="A2" s="16" t="s">
        <v>49</v>
      </c>
      <c r="B2" s="16"/>
      <c r="C2" s="17"/>
      <c r="D2" s="17"/>
      <c r="E2" s="4"/>
      <c r="F2" s="4"/>
      <c r="G2" s="4"/>
      <c r="H2" s="4"/>
      <c r="I2" s="46" t="s">
        <v>69</v>
      </c>
      <c r="J2" s="46"/>
      <c r="K2" s="46"/>
      <c r="L2" s="4"/>
      <c r="M2" s="4"/>
      <c r="N2" s="4"/>
      <c r="O2" s="4"/>
      <c r="P2" s="4"/>
    </row>
    <row r="3" spans="1:16" x14ac:dyDescent="0.3">
      <c r="A3" s="5" t="s">
        <v>92</v>
      </c>
      <c r="B3" s="5"/>
      <c r="C3" s="4"/>
      <c r="D3" s="4"/>
      <c r="E3" s="4"/>
      <c r="F3" s="4"/>
      <c r="G3" s="4"/>
      <c r="H3" s="4"/>
      <c r="I3" s="5" t="s">
        <v>92</v>
      </c>
      <c r="J3" s="4"/>
      <c r="K3" s="4"/>
      <c r="L3" s="4"/>
      <c r="M3" s="4"/>
      <c r="N3" s="4"/>
      <c r="O3" s="4"/>
      <c r="P3" s="4"/>
    </row>
    <row r="4" spans="1:16" x14ac:dyDescent="0.3">
      <c r="A4" s="4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18"/>
      <c r="D5" s="19" t="s">
        <v>93</v>
      </c>
      <c r="E5" s="4"/>
      <c r="F5" s="4"/>
      <c r="G5" s="4"/>
      <c r="H5" s="4"/>
      <c r="I5" s="5"/>
      <c r="J5" s="4"/>
      <c r="K5" s="4"/>
      <c r="L5" s="4"/>
      <c r="M5" s="4"/>
      <c r="N5" s="4" t="s">
        <v>82</v>
      </c>
      <c r="O5" s="4"/>
      <c r="P5" s="4"/>
    </row>
    <row r="6" spans="1:1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>
        <v>48</v>
      </c>
      <c r="O6" s="4">
        <f>48*5</f>
        <v>240</v>
      </c>
      <c r="P6" s="4" t="s">
        <v>79</v>
      </c>
    </row>
    <row r="7" spans="1:16" ht="42" thickBot="1" x14ac:dyDescent="0.35">
      <c r="A7" s="20"/>
      <c r="B7" s="47" t="s">
        <v>51</v>
      </c>
      <c r="C7" s="48"/>
      <c r="D7" s="48"/>
      <c r="E7" s="4"/>
      <c r="F7" s="4"/>
      <c r="G7" s="4"/>
      <c r="H7" s="4"/>
      <c r="I7" s="20"/>
      <c r="J7" s="21" t="s">
        <v>70</v>
      </c>
      <c r="K7" s="22" t="s">
        <v>71</v>
      </c>
      <c r="L7" s="4"/>
      <c r="M7" s="4"/>
      <c r="N7" s="4" t="s">
        <v>81</v>
      </c>
      <c r="O7" s="4" t="s">
        <v>80</v>
      </c>
      <c r="P7" s="4"/>
    </row>
    <row r="8" spans="1:16" ht="15" thickBot="1" x14ac:dyDescent="0.35">
      <c r="A8" s="20"/>
      <c r="B8" s="23" t="s">
        <v>52</v>
      </c>
      <c r="C8" s="24" t="s">
        <v>53</v>
      </c>
      <c r="D8" s="25" t="s">
        <v>54</v>
      </c>
      <c r="E8" s="4"/>
      <c r="F8" s="4"/>
      <c r="G8" s="4"/>
      <c r="H8" s="4"/>
      <c r="I8" s="26" t="s">
        <v>92</v>
      </c>
      <c r="J8" s="27">
        <v>21.794381751616456</v>
      </c>
      <c r="K8" s="27">
        <v>10.069858420872182</v>
      </c>
      <c r="L8" s="4"/>
      <c r="M8" s="4"/>
      <c r="N8" s="4"/>
      <c r="O8" s="4"/>
      <c r="P8" s="4"/>
    </row>
    <row r="9" spans="1:16" ht="15" thickBot="1" x14ac:dyDescent="0.35">
      <c r="A9" s="28" t="s">
        <v>92</v>
      </c>
      <c r="B9" s="29">
        <v>23987.449500505183</v>
      </c>
      <c r="C9" s="29">
        <v>17098.616855655764</v>
      </c>
      <c r="D9" s="29">
        <v>6888.8326448494181</v>
      </c>
      <c r="E9" s="4"/>
      <c r="F9" s="4"/>
      <c r="G9" s="4"/>
      <c r="H9" s="4"/>
      <c r="I9" s="30" t="s">
        <v>56</v>
      </c>
      <c r="J9" s="31">
        <v>18.011707000197749</v>
      </c>
      <c r="K9" s="31">
        <v>11.418130715971936</v>
      </c>
      <c r="L9" s="4"/>
      <c r="M9" s="4"/>
      <c r="N9" s="32">
        <f>K9*C11*10^3</f>
        <v>96529135.097305328</v>
      </c>
      <c r="O9" s="32">
        <f t="shared" ref="O9:O14" si="0">N9*$N$6</f>
        <v>4633398484.6706562</v>
      </c>
      <c r="P9" s="4"/>
    </row>
    <row r="10" spans="1:16" x14ac:dyDescent="0.3">
      <c r="A10" s="33" t="s">
        <v>55</v>
      </c>
      <c r="B10" s="34">
        <v>16546.663103057363</v>
      </c>
      <c r="C10" s="34">
        <v>11372.370256890759</v>
      </c>
      <c r="D10" s="34">
        <v>5174.2928461666015</v>
      </c>
      <c r="E10" s="4"/>
      <c r="F10" s="4"/>
      <c r="G10" s="4"/>
      <c r="H10" s="4"/>
      <c r="I10" s="30" t="s">
        <v>57</v>
      </c>
      <c r="J10" s="31">
        <v>17.622250931433349</v>
      </c>
      <c r="K10" s="31">
        <v>11.448200025565731</v>
      </c>
      <c r="L10" s="4"/>
      <c r="M10" s="4"/>
      <c r="N10" s="32">
        <f>K10*C12*10^3</f>
        <v>30769973.662858702</v>
      </c>
      <c r="O10" s="32">
        <f t="shared" si="0"/>
        <v>1476958735.8172178</v>
      </c>
      <c r="P10" s="4"/>
    </row>
    <row r="11" spans="1:16" x14ac:dyDescent="0.3">
      <c r="A11" s="35" t="s">
        <v>56</v>
      </c>
      <c r="B11" s="36">
        <v>12162.10420969933</v>
      </c>
      <c r="C11" s="36">
        <v>8454.0225977863629</v>
      </c>
      <c r="D11" s="36">
        <v>3708.0816119129677</v>
      </c>
      <c r="E11" s="4"/>
      <c r="F11" s="4"/>
      <c r="G11" s="4"/>
      <c r="H11" s="4"/>
      <c r="I11" s="30" t="s">
        <v>58</v>
      </c>
      <c r="J11" s="31">
        <v>13.53762159704592</v>
      </c>
      <c r="K11" s="31">
        <v>7.3747196001498772</v>
      </c>
      <c r="L11" s="4"/>
      <c r="M11" s="4"/>
      <c r="N11" s="32">
        <f>K11*C13*10^3</f>
        <v>1700545.3784718025</v>
      </c>
      <c r="O11" s="32">
        <f t="shared" si="0"/>
        <v>81626178.16664651</v>
      </c>
      <c r="P11" s="4"/>
    </row>
    <row r="12" spans="1:16" x14ac:dyDescent="0.3">
      <c r="A12" s="35" t="s">
        <v>57</v>
      </c>
      <c r="B12" s="36">
        <v>4061.433906453743</v>
      </c>
      <c r="C12" s="36">
        <v>2687.7564677542532</v>
      </c>
      <c r="D12" s="36">
        <v>1373.6774386994898</v>
      </c>
      <c r="E12" s="4"/>
      <c r="F12" s="4"/>
      <c r="G12" s="4"/>
      <c r="H12" s="4"/>
      <c r="I12" s="30" t="s">
        <v>72</v>
      </c>
      <c r="J12" s="31">
        <v>40.593773785445165</v>
      </c>
      <c r="K12" s="31">
        <v>9.8152775049169829</v>
      </c>
      <c r="L12" s="4"/>
      <c r="M12" s="4"/>
      <c r="N12" s="32">
        <f>K12*C16*10^3</f>
        <v>13590861.774349589</v>
      </c>
      <c r="O12" s="32">
        <f t="shared" si="0"/>
        <v>652361365.16878033</v>
      </c>
      <c r="P12" s="4"/>
    </row>
    <row r="13" spans="1:16" x14ac:dyDescent="0.3">
      <c r="A13" s="35" t="s">
        <v>58</v>
      </c>
      <c r="B13" s="36">
        <v>323.12498690428589</v>
      </c>
      <c r="C13" s="36">
        <v>230.59119135014191</v>
      </c>
      <c r="D13" s="36">
        <v>92.533795554143978</v>
      </c>
      <c r="E13" s="4"/>
      <c r="F13" s="4"/>
      <c r="G13" s="4"/>
      <c r="H13" s="4"/>
      <c r="I13" s="30" t="s">
        <v>62</v>
      </c>
      <c r="J13" s="31">
        <v>57.608868570628729</v>
      </c>
      <c r="K13" s="31">
        <v>30.958173209975843</v>
      </c>
      <c r="L13" s="4"/>
      <c r="M13" s="4"/>
      <c r="N13" s="32">
        <f>K13*C17*10^3</f>
        <v>5220448.1739360606</v>
      </c>
      <c r="O13" s="32">
        <f t="shared" si="0"/>
        <v>250581512.3489309</v>
      </c>
      <c r="P13" s="4"/>
    </row>
    <row r="14" spans="1:16" x14ac:dyDescent="0.3">
      <c r="A14" s="33" t="s">
        <v>59</v>
      </c>
      <c r="B14" s="34">
        <v>2670.3891278488745</v>
      </c>
      <c r="C14" s="34">
        <v>2282.0982253191905</v>
      </c>
      <c r="D14" s="34">
        <v>388.29090252968393</v>
      </c>
      <c r="E14" s="4"/>
      <c r="F14" s="4"/>
      <c r="G14" s="4"/>
      <c r="H14" s="4"/>
      <c r="I14" s="30" t="s">
        <v>63</v>
      </c>
      <c r="J14" s="31">
        <v>37.594032614296509</v>
      </c>
      <c r="K14" s="31">
        <v>9.4053600098523322</v>
      </c>
      <c r="L14" s="4"/>
      <c r="M14" s="4"/>
      <c r="N14" s="32">
        <f>K14*C18*10^3</f>
        <v>3674127.7977304412</v>
      </c>
      <c r="O14" s="32">
        <f t="shared" si="0"/>
        <v>176358134.29106116</v>
      </c>
      <c r="P14" s="4"/>
    </row>
    <row r="15" spans="1:16" x14ac:dyDescent="0.3">
      <c r="A15" s="37" t="s">
        <v>60</v>
      </c>
      <c r="B15" s="34"/>
      <c r="C15" s="34"/>
      <c r="D15" s="34"/>
      <c r="E15" s="4"/>
      <c r="F15" s="4"/>
      <c r="G15" s="4"/>
      <c r="H15" s="4"/>
      <c r="I15" s="30" t="s">
        <v>73</v>
      </c>
      <c r="J15" s="31">
        <v>12.500000000000004</v>
      </c>
      <c r="K15" s="31">
        <v>0.70000000000000007</v>
      </c>
      <c r="L15" s="4"/>
      <c r="M15" s="4"/>
      <c r="N15" s="4"/>
      <c r="O15" s="32"/>
      <c r="P15" s="4"/>
    </row>
    <row r="16" spans="1:16" x14ac:dyDescent="0.3">
      <c r="A16" s="38" t="s">
        <v>61</v>
      </c>
      <c r="B16" s="36">
        <v>1628.5271315668233</v>
      </c>
      <c r="C16" s="36">
        <v>1384.6640370118134</v>
      </c>
      <c r="D16" s="36">
        <v>243.86309455500992</v>
      </c>
      <c r="E16" s="4"/>
      <c r="F16" s="4"/>
      <c r="G16" s="4"/>
      <c r="H16" s="4"/>
      <c r="I16" s="30" t="s">
        <v>74</v>
      </c>
      <c r="J16" s="31">
        <v>19.426632120078633</v>
      </c>
      <c r="K16" s="31">
        <v>8.6813869767827274</v>
      </c>
      <c r="L16" s="4"/>
      <c r="M16" s="4"/>
      <c r="N16" s="4"/>
      <c r="O16" s="32"/>
      <c r="P16" s="4"/>
    </row>
    <row r="17" spans="1:16" x14ac:dyDescent="0.3">
      <c r="A17" s="38" t="s">
        <v>62</v>
      </c>
      <c r="B17" s="36">
        <v>190.21290947476302</v>
      </c>
      <c r="C17" s="36">
        <v>168.62907699779402</v>
      </c>
      <c r="D17" s="36">
        <v>21.583832476968997</v>
      </c>
      <c r="E17" s="4"/>
      <c r="F17" s="4"/>
      <c r="G17" s="4"/>
      <c r="H17" s="4"/>
      <c r="I17" s="30" t="s">
        <v>75</v>
      </c>
      <c r="J17" s="31">
        <v>32.841853208478362</v>
      </c>
      <c r="K17" s="31">
        <v>23.45119584862196</v>
      </c>
      <c r="L17" s="4"/>
      <c r="M17" s="4"/>
      <c r="N17" s="4"/>
      <c r="O17" s="32"/>
      <c r="P17" s="4"/>
    </row>
    <row r="18" spans="1:16" x14ac:dyDescent="0.3">
      <c r="A18" s="38" t="s">
        <v>63</v>
      </c>
      <c r="B18" s="36">
        <v>473.94608846633969</v>
      </c>
      <c r="C18" s="36">
        <v>390.6419099196317</v>
      </c>
      <c r="D18" s="36">
        <v>83.304178546707988</v>
      </c>
      <c r="E18" s="4"/>
      <c r="F18" s="4"/>
      <c r="G18" s="4"/>
      <c r="H18" s="4"/>
      <c r="I18" s="30" t="s">
        <v>76</v>
      </c>
      <c r="J18" s="31">
        <v>24.493317974985775</v>
      </c>
      <c r="K18" s="31">
        <v>2.3429512633279477</v>
      </c>
      <c r="L18" s="4"/>
      <c r="M18" s="4"/>
      <c r="N18" s="32">
        <f>$I$23*C19*K18*10^3</f>
        <v>3828552.1123295357</v>
      </c>
      <c r="O18" s="32">
        <f>N18*$N$6</f>
        <v>183770501.39181772</v>
      </c>
      <c r="P18" s="4"/>
    </row>
    <row r="19" spans="1:16" x14ac:dyDescent="0.3">
      <c r="A19" s="33" t="s">
        <v>94</v>
      </c>
      <c r="B19" s="34">
        <v>4536.8501356106326</v>
      </c>
      <c r="C19" s="34">
        <v>3268.1449010522124</v>
      </c>
      <c r="D19" s="34">
        <v>1268.70523455842</v>
      </c>
      <c r="E19" s="4"/>
      <c r="F19" s="4"/>
      <c r="G19" s="4"/>
      <c r="H19" s="4"/>
      <c r="I19" s="30" t="s">
        <v>77</v>
      </c>
      <c r="J19" s="31">
        <v>35.900399422313747</v>
      </c>
      <c r="K19" s="31">
        <v>9.5366328619313823</v>
      </c>
      <c r="L19" s="4"/>
      <c r="M19" s="4"/>
      <c r="N19" s="32">
        <f>$I$23*C20*K19*10^3</f>
        <v>274386.38707999932</v>
      </c>
      <c r="O19" s="32">
        <f>N19*$N$6</f>
        <v>13170546.579839967</v>
      </c>
      <c r="P19" s="4"/>
    </row>
    <row r="20" spans="1:16" x14ac:dyDescent="0.3">
      <c r="A20" s="33" t="s">
        <v>65</v>
      </c>
      <c r="B20" s="34">
        <v>291.09079558302795</v>
      </c>
      <c r="C20" s="34">
        <v>57.543661594712987</v>
      </c>
      <c r="D20" s="34">
        <v>233.54713398831498</v>
      </c>
      <c r="E20" s="4"/>
      <c r="F20" s="4"/>
      <c r="G20" s="4"/>
      <c r="H20" s="4"/>
      <c r="I20" s="30" t="s">
        <v>65</v>
      </c>
      <c r="J20" s="31">
        <v>38.238472227795214</v>
      </c>
      <c r="K20" s="31">
        <v>34.820076299605091</v>
      </c>
      <c r="L20" s="4"/>
      <c r="M20" s="4"/>
      <c r="N20" s="4"/>
      <c r="O20" s="4"/>
      <c r="P20" s="4"/>
    </row>
    <row r="21" spans="1:16" ht="15" thickBot="1" x14ac:dyDescent="0.35">
      <c r="A21" s="39"/>
      <c r="B21" s="40"/>
      <c r="C21" s="40"/>
      <c r="D21" s="40"/>
      <c r="E21" s="4"/>
      <c r="F21" s="4"/>
      <c r="G21" s="4"/>
      <c r="H21" s="4"/>
      <c r="I21" s="41"/>
      <c r="J21" s="42"/>
      <c r="K21" s="42"/>
      <c r="L21" s="4"/>
      <c r="M21" s="4"/>
      <c r="N21" s="4"/>
      <c r="O21" s="4"/>
      <c r="P21" s="4"/>
    </row>
    <row r="22" spans="1:16" ht="15" thickTop="1" x14ac:dyDescent="0.3">
      <c r="A22" s="4"/>
      <c r="B22" s="4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4" t="s">
        <v>66</v>
      </c>
      <c r="B23" s="43"/>
      <c r="C23" s="4"/>
      <c r="D23" s="4"/>
      <c r="E23" s="4"/>
      <c r="F23" s="4"/>
      <c r="G23" s="4"/>
      <c r="H23" s="4" t="s">
        <v>85</v>
      </c>
      <c r="I23" s="4">
        <v>0.5</v>
      </c>
      <c r="J23" s="4"/>
      <c r="K23" s="4"/>
      <c r="L23" s="4"/>
      <c r="M23" s="4"/>
      <c r="N23" s="4"/>
      <c r="O23" s="4"/>
      <c r="P23" s="4"/>
    </row>
    <row r="26" spans="1:16" s="2" customFormat="1" x14ac:dyDescent="0.3">
      <c r="A26" s="3" t="s">
        <v>6</v>
      </c>
      <c r="B26" s="2">
        <v>1.6</v>
      </c>
      <c r="C26" s="2" t="s">
        <v>18</v>
      </c>
    </row>
    <row r="27" spans="1:16" s="2" customFormat="1" x14ac:dyDescent="0.3"/>
    <row r="28" spans="1:16" s="2" customFormat="1" x14ac:dyDescent="0.3"/>
    <row r="29" spans="1:16" s="2" customFormat="1" x14ac:dyDescent="0.3">
      <c r="A29" s="8" t="s">
        <v>38</v>
      </c>
      <c r="B29" s="8" t="s">
        <v>7</v>
      </c>
      <c r="C29" s="8" t="s">
        <v>8</v>
      </c>
      <c r="D29" s="8" t="s">
        <v>9</v>
      </c>
      <c r="E29" s="7"/>
      <c r="F29" s="8" t="s">
        <v>15</v>
      </c>
      <c r="G29" s="8"/>
      <c r="H29" s="8" t="s">
        <v>88</v>
      </c>
      <c r="I29" s="7"/>
      <c r="J29" s="8" t="s">
        <v>87</v>
      </c>
      <c r="K29" s="7"/>
      <c r="L29" s="7"/>
      <c r="M29" s="7"/>
      <c r="N29" s="7"/>
      <c r="O29" s="7"/>
      <c r="P29" s="7"/>
    </row>
    <row r="30" spans="1:16" s="2" customFormat="1" x14ac:dyDescent="0.3">
      <c r="A30" s="7" t="s">
        <v>2</v>
      </c>
      <c r="B30" s="7"/>
      <c r="C30" s="7">
        <v>1.54</v>
      </c>
      <c r="D30" s="7" t="s">
        <v>10</v>
      </c>
      <c r="E30" s="7"/>
      <c r="F30" s="7"/>
      <c r="G30" s="7" t="s">
        <v>16</v>
      </c>
      <c r="H30" s="45">
        <f>C30*O11</f>
        <v>125704314.37663563</v>
      </c>
      <c r="I30" s="7"/>
      <c r="J30" s="7">
        <f>H30</f>
        <v>125704314.37663563</v>
      </c>
      <c r="K30" s="7"/>
      <c r="L30" s="7"/>
      <c r="M30" s="7"/>
      <c r="N30" s="7"/>
      <c r="O30" s="7"/>
      <c r="P30" s="7"/>
    </row>
    <row r="31" spans="1:16" s="2" customFormat="1" x14ac:dyDescent="0.3">
      <c r="A31" s="7" t="s">
        <v>0</v>
      </c>
      <c r="B31" s="7">
        <v>1.6</v>
      </c>
      <c r="C31" s="7">
        <f>50*0.84*44/100</f>
        <v>18.48</v>
      </c>
      <c r="D31" s="7" t="s">
        <v>11</v>
      </c>
      <c r="E31" s="7"/>
      <c r="F31" s="7"/>
      <c r="G31" s="7" t="s">
        <v>16</v>
      </c>
      <c r="H31" s="45">
        <f>B31*O12</f>
        <v>1043778184.2700486</v>
      </c>
      <c r="I31" s="7"/>
      <c r="J31" s="7">
        <f>H31</f>
        <v>1043778184.2700486</v>
      </c>
      <c r="K31" s="7"/>
      <c r="L31" s="7"/>
      <c r="M31" s="7"/>
      <c r="N31" s="7"/>
      <c r="O31" s="7"/>
      <c r="P31" s="7"/>
    </row>
    <row r="32" spans="1:16" s="2" customFormat="1" x14ac:dyDescent="0.3">
      <c r="A32" s="7" t="s">
        <v>1</v>
      </c>
      <c r="B32" s="7"/>
      <c r="C32" s="7">
        <f>5.6*0.84*44/100</f>
        <v>2.06976</v>
      </c>
      <c r="D32" s="7" t="s">
        <v>11</v>
      </c>
      <c r="E32" s="7"/>
      <c r="F32" s="7"/>
      <c r="G32" s="7" t="s">
        <v>16</v>
      </c>
      <c r="H32" s="45">
        <f>C32*(O9+O10)</f>
        <v>12646972960.676983</v>
      </c>
      <c r="I32" s="7"/>
      <c r="J32" s="7">
        <f>H32</f>
        <v>12646972960.676983</v>
      </c>
      <c r="K32" s="7"/>
      <c r="L32" s="7"/>
      <c r="M32" s="7"/>
      <c r="N32" s="7"/>
      <c r="O32" s="7"/>
      <c r="P32" s="7"/>
    </row>
    <row r="33" spans="1:16" s="2" customFormat="1" x14ac:dyDescent="0.3">
      <c r="A33" s="7" t="s">
        <v>3</v>
      </c>
      <c r="B33" s="7">
        <v>0.06</v>
      </c>
      <c r="C33" s="7"/>
      <c r="D33" s="7" t="s">
        <v>12</v>
      </c>
      <c r="E33" s="7"/>
      <c r="F33" s="7"/>
      <c r="G33" s="7" t="s">
        <v>17</v>
      </c>
      <c r="H33" s="45">
        <f>B33*O19</f>
        <v>790232.79479039798</v>
      </c>
      <c r="I33" s="7"/>
      <c r="J33" s="7">
        <v>0</v>
      </c>
      <c r="K33" s="7"/>
      <c r="L33" s="7"/>
      <c r="M33" s="7"/>
      <c r="N33" s="7"/>
      <c r="O33" s="7"/>
      <c r="P33" s="7"/>
    </row>
    <row r="34" spans="1:16" s="2" customFormat="1" x14ac:dyDescent="0.3">
      <c r="A34" s="7" t="s">
        <v>4</v>
      </c>
      <c r="B34" s="7">
        <v>0.16</v>
      </c>
      <c r="C34" s="7"/>
      <c r="D34" s="7" t="s">
        <v>12</v>
      </c>
      <c r="E34" s="7"/>
      <c r="F34" s="7"/>
      <c r="G34" s="7" t="s">
        <v>17</v>
      </c>
      <c r="H34" s="45">
        <f>B34*O18</f>
        <v>29403280.222690836</v>
      </c>
      <c r="I34" s="7"/>
      <c r="J34" s="7">
        <v>0</v>
      </c>
      <c r="K34" s="7"/>
      <c r="L34" s="7"/>
      <c r="M34" s="7"/>
      <c r="N34" s="7"/>
      <c r="O34" s="7"/>
      <c r="P34" s="7"/>
    </row>
    <row r="35" spans="1:16" s="2" customFormat="1" x14ac:dyDescent="0.3">
      <c r="A35" s="7" t="s">
        <v>5</v>
      </c>
      <c r="B35" s="7">
        <v>0.3</v>
      </c>
      <c r="C35" s="7"/>
      <c r="D35" s="7" t="s">
        <v>13</v>
      </c>
      <c r="E35" s="7"/>
      <c r="F35" s="7">
        <f>1-24309/59432</f>
        <v>0.59097792435051821</v>
      </c>
      <c r="G35" s="7" t="s">
        <v>16</v>
      </c>
      <c r="H35" s="45">
        <f>B35*O13</f>
        <v>75174453.704679266</v>
      </c>
      <c r="I35" s="7"/>
      <c r="J35" s="45">
        <f>F35*H35</f>
        <v>44426442.614575475</v>
      </c>
      <c r="K35" s="7"/>
      <c r="L35" s="7"/>
      <c r="M35" s="7"/>
      <c r="N35" s="7"/>
      <c r="O35" s="7"/>
      <c r="P35" s="7"/>
    </row>
    <row r="36" spans="1:16" s="2" customFormat="1" x14ac:dyDescent="0.3">
      <c r="A36" s="7" t="s">
        <v>14</v>
      </c>
      <c r="B36" s="7">
        <v>16.899999999999999</v>
      </c>
      <c r="C36" s="7"/>
      <c r="D36" s="7" t="s">
        <v>13</v>
      </c>
      <c r="E36" s="7"/>
      <c r="F36" s="7">
        <f>1-24309/59432</f>
        <v>0.59097792435051821</v>
      </c>
      <c r="G36" s="7" t="s">
        <v>16</v>
      </c>
      <c r="H36" s="45">
        <f>B36*O14</f>
        <v>2980452469.5189333</v>
      </c>
      <c r="I36" s="7"/>
      <c r="J36" s="45">
        <f>F36*H36</f>
        <v>1761381614.0616753</v>
      </c>
      <c r="K36" s="7"/>
      <c r="L36" s="7"/>
      <c r="M36" s="7"/>
      <c r="N36" s="7"/>
      <c r="O36" s="7"/>
      <c r="P36" s="7"/>
    </row>
    <row r="37" spans="1:16" s="2" customFormat="1" x14ac:dyDescent="0.3">
      <c r="A37" s="7"/>
      <c r="B37" s="7"/>
      <c r="C37" s="7"/>
      <c r="D37" s="7"/>
      <c r="E37" s="7"/>
      <c r="F37" s="7"/>
      <c r="G37" s="7"/>
      <c r="H37" s="7">
        <f>SUM(H30:H36)</f>
        <v>16902275895.564762</v>
      </c>
      <c r="I37" s="7"/>
      <c r="J37" s="7">
        <f>SUM(J30:J36)</f>
        <v>15622263515.99992</v>
      </c>
      <c r="K37" s="7"/>
      <c r="L37" s="7"/>
      <c r="M37" s="7"/>
      <c r="N37" s="7"/>
      <c r="O37" s="7"/>
      <c r="P37" s="7"/>
    </row>
    <row r="38" spans="1:16" s="2" customFormat="1" x14ac:dyDescent="0.3">
      <c r="A38" s="8" t="s">
        <v>90</v>
      </c>
      <c r="B38" s="7"/>
      <c r="C38" s="7"/>
      <c r="D38" s="7"/>
      <c r="E38" s="7"/>
      <c r="F38" s="7"/>
      <c r="G38" s="9" t="s">
        <v>47</v>
      </c>
      <c r="H38" s="8">
        <f>SUM(H30:H37)</f>
        <v>33804551791.129524</v>
      </c>
      <c r="I38" s="7" t="s">
        <v>89</v>
      </c>
      <c r="J38" s="8">
        <f>SUM(J30:J37)</f>
        <v>31244527031.99984</v>
      </c>
      <c r="K38" s="7"/>
      <c r="L38" s="7"/>
      <c r="M38" s="7"/>
      <c r="N38" s="7"/>
      <c r="O38" s="7"/>
      <c r="P38" s="7"/>
    </row>
    <row r="39" spans="1:16" s="2" customFormat="1" x14ac:dyDescent="0.3">
      <c r="A39" s="8" t="s">
        <v>47</v>
      </c>
      <c r="B39" s="7">
        <f>J38/H38*100</f>
        <v>92.426982097122661</v>
      </c>
      <c r="C39" s="7" t="s">
        <v>91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s="2" customFormat="1" x14ac:dyDescent="0.3"/>
    <row r="41" spans="1:16" s="2" customFormat="1" x14ac:dyDescent="0.3"/>
    <row r="42" spans="1:16" s="2" customFormat="1" x14ac:dyDescent="0.3">
      <c r="A42" s="15" t="s">
        <v>44</v>
      </c>
      <c r="B42" s="14" t="s">
        <v>22</v>
      </c>
      <c r="C42" s="14" t="s">
        <v>30</v>
      </c>
      <c r="D42" s="14" t="s">
        <v>23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2" customFormat="1" x14ac:dyDescent="0.3">
      <c r="A43" s="14" t="s">
        <v>95</v>
      </c>
      <c r="B43" s="14">
        <v>14.7</v>
      </c>
      <c r="C43" s="14">
        <v>48.1</v>
      </c>
      <c r="D43" s="14">
        <v>17.899999999999999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2" customFormat="1" x14ac:dyDescent="0.3">
      <c r="A44" s="14" t="s">
        <v>96</v>
      </c>
      <c r="B44" s="14">
        <v>20.7</v>
      </c>
      <c r="C44" s="14">
        <v>42.8</v>
      </c>
      <c r="D44" s="14">
        <v>30.8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2" customFormat="1" x14ac:dyDescent="0.3">
      <c r="A45" s="14" t="s">
        <v>97</v>
      </c>
      <c r="B45" s="14">
        <v>19</v>
      </c>
      <c r="C45" s="14">
        <v>39.6</v>
      </c>
      <c r="D45" s="14">
        <v>54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2" customForma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2" customFormat="1" x14ac:dyDescent="0.3">
      <c r="A47" s="15" t="s">
        <v>29</v>
      </c>
      <c r="B47" s="15">
        <f>AVERAGE(B43:B45)</f>
        <v>18.133333333333333</v>
      </c>
      <c r="C47" s="15">
        <f t="shared" ref="C47:D47" si="1">AVERAGE(C43:C45)</f>
        <v>43.5</v>
      </c>
      <c r="D47" s="15">
        <f t="shared" si="1"/>
        <v>34.233333333333334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2" customFormat="1" x14ac:dyDescent="0.3"/>
    <row r="49" spans="1:16" s="2" customFormat="1" x14ac:dyDescent="0.3">
      <c r="A49" s="11" t="s">
        <v>45</v>
      </c>
      <c r="B49" s="10" t="s">
        <v>84</v>
      </c>
      <c r="C49" s="10"/>
      <c r="D49" s="11" t="s">
        <v>83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2" customFormat="1" x14ac:dyDescent="0.3">
      <c r="A50" s="10" t="s">
        <v>2</v>
      </c>
      <c r="B50" s="49">
        <f>C30*O11*'CO2 direct emission factors'!B3*10^-6</f>
        <v>9100.9923608684185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2" customFormat="1" x14ac:dyDescent="0.3">
      <c r="A51" s="10" t="s">
        <v>0</v>
      </c>
      <c r="B51" s="49">
        <f>B31*O12*'CO2 direct emission factors'!B4*10^-6</f>
        <v>73273.228535757415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2" customFormat="1" x14ac:dyDescent="0.3">
      <c r="A52" s="10" t="s">
        <v>1</v>
      </c>
      <c r="B52" s="49">
        <f>C32*(O9+O10)*'CO2 direct emission factors'!B4*10^-6</f>
        <v>887817.50183952425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2" customFormat="1" x14ac:dyDescent="0.3">
      <c r="A53" s="10" t="s">
        <v>3</v>
      </c>
      <c r="B53" s="10">
        <v>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2" customFormat="1" x14ac:dyDescent="0.3">
      <c r="A54" s="10" t="s">
        <v>4</v>
      </c>
      <c r="B54" s="10">
        <v>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2" customFormat="1" x14ac:dyDescent="0.3">
      <c r="A55" s="10" t="s">
        <v>5</v>
      </c>
      <c r="B55" s="10">
        <v>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2" customFormat="1" x14ac:dyDescent="0.3">
      <c r="A56" s="10" t="s">
        <v>14</v>
      </c>
      <c r="B56" s="10">
        <v>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2" customFormat="1" x14ac:dyDescent="0.3">
      <c r="A57" s="11" t="s">
        <v>47</v>
      </c>
      <c r="B57" s="49">
        <f>SUM(B50:B56)</f>
        <v>970191.72273615003</v>
      </c>
      <c r="C57" s="10"/>
      <c r="D57" s="11">
        <f>B57/(B26*10^6)</f>
        <v>0.60636982671009376</v>
      </c>
      <c r="E57" s="11" t="s">
        <v>86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2">
    <mergeCell ref="I2:K2"/>
    <mergeCell ref="B7:D7"/>
  </mergeCells>
  <hyperlinks>
    <hyperlink ref="F1" location="Índice!A1" display="Voltar ao 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31"/>
  <sheetViews>
    <sheetView workbookViewId="0">
      <selection activeCell="D24" sqref="D24"/>
    </sheetView>
  </sheetViews>
  <sheetFormatPr defaultRowHeight="14.4" x14ac:dyDescent="0.3"/>
  <sheetData>
    <row r="8" spans="2:11" x14ac:dyDescent="0.3">
      <c r="J8" s="1" t="s">
        <v>31</v>
      </c>
    </row>
    <row r="9" spans="2:11" x14ac:dyDescent="0.3">
      <c r="B9" t="s">
        <v>32</v>
      </c>
      <c r="C9" s="1" t="s">
        <v>33</v>
      </c>
      <c r="D9" t="s">
        <v>34</v>
      </c>
      <c r="J9" t="s">
        <v>40</v>
      </c>
      <c r="K9" t="s">
        <v>41</v>
      </c>
    </row>
    <row r="10" spans="2:11" x14ac:dyDescent="0.3">
      <c r="B10" t="s">
        <v>35</v>
      </c>
      <c r="C10">
        <v>5</v>
      </c>
      <c r="D10" t="s">
        <v>36</v>
      </c>
      <c r="J10">
        <v>7.5</v>
      </c>
      <c r="K10">
        <v>0</v>
      </c>
    </row>
    <row r="11" spans="2:11" x14ac:dyDescent="0.3">
      <c r="B11" t="s">
        <v>22</v>
      </c>
      <c r="C11">
        <v>10</v>
      </c>
      <c r="D11" t="s">
        <v>37</v>
      </c>
      <c r="J11">
        <v>150</v>
      </c>
      <c r="K11">
        <v>10</v>
      </c>
    </row>
    <row r="12" spans="2:11" x14ac:dyDescent="0.3">
      <c r="B12" t="s">
        <v>23</v>
      </c>
      <c r="C12">
        <v>10</v>
      </c>
      <c r="D12" t="s">
        <v>37</v>
      </c>
      <c r="J12">
        <v>200</v>
      </c>
      <c r="K12">
        <v>0</v>
      </c>
    </row>
    <row r="13" spans="2:11" x14ac:dyDescent="0.3">
      <c r="B13" t="s">
        <v>30</v>
      </c>
      <c r="C13">
        <v>10</v>
      </c>
      <c r="D13" t="s">
        <v>37</v>
      </c>
      <c r="J13">
        <v>240</v>
      </c>
      <c r="K13">
        <v>0</v>
      </c>
    </row>
    <row r="14" spans="2:11" x14ac:dyDescent="0.3">
      <c r="B14" t="s">
        <v>38</v>
      </c>
      <c r="C14">
        <v>5</v>
      </c>
      <c r="D14" t="s">
        <v>39</v>
      </c>
      <c r="J14">
        <v>100</v>
      </c>
      <c r="K14">
        <v>0</v>
      </c>
    </row>
    <row r="19" spans="2:4" x14ac:dyDescent="0.3">
      <c r="B19" s="1" t="s">
        <v>42</v>
      </c>
      <c r="C19" t="s">
        <v>35</v>
      </c>
      <c r="D19">
        <f>(0+(Lisboa!D59-J10)/(Ranking!K10-Ranking!J10)*(5-0))</f>
        <v>4.595466330755908</v>
      </c>
    </row>
    <row r="20" spans="2:4" x14ac:dyDescent="0.3">
      <c r="C20" t="s">
        <v>22</v>
      </c>
      <c r="D20">
        <f>(0+(Lisboa!B49-J11)/(Ranking!K11-Ranking!J11)*(10-0))</f>
        <v>8.4499999999999993</v>
      </c>
    </row>
    <row r="21" spans="2:4" x14ac:dyDescent="0.3">
      <c r="C21" t="s">
        <v>23</v>
      </c>
      <c r="D21">
        <f>(0+(Lisboa!D49-J12)/(Ranking!K12-Ranking!J12)*(10-0))</f>
        <v>7.92</v>
      </c>
    </row>
    <row r="22" spans="2:4" x14ac:dyDescent="0.3">
      <c r="C22" t="s">
        <v>30</v>
      </c>
      <c r="D22">
        <f>(0+(Lisboa!C49-J13)/(Ranking!K13-Ranking!J13)*(10-0))</f>
        <v>8.1666666666666661</v>
      </c>
    </row>
    <row r="23" spans="2:4" x14ac:dyDescent="0.3">
      <c r="C23" t="s">
        <v>38</v>
      </c>
      <c r="D23">
        <f>(0+(Lisboa!B41-J14)/(Ranking!K14-Ranking!J14)*(5-0))</f>
        <v>0.50489776967266597</v>
      </c>
    </row>
    <row r="24" spans="2:4" x14ac:dyDescent="0.3">
      <c r="C24" s="1" t="s">
        <v>47</v>
      </c>
      <c r="D24" s="1">
        <f>SUM(D19:D23)</f>
        <v>29.63703076709524</v>
      </c>
    </row>
    <row r="26" spans="2:4" x14ac:dyDescent="0.3">
      <c r="B26" s="1" t="s">
        <v>43</v>
      </c>
      <c r="C26" t="s">
        <v>35</v>
      </c>
      <c r="D26">
        <f>(0+(Porto!D57-J10)/(Ranking!K10-Ranking!J10)*(5-0))</f>
        <v>4.595753448859937</v>
      </c>
    </row>
    <row r="27" spans="2:4" x14ac:dyDescent="0.3">
      <c r="C27" t="s">
        <v>22</v>
      </c>
      <c r="D27">
        <f>(0+(Porto!B47-J11)/(Ranking!K11-Ranking!J11)*(10-0))</f>
        <v>9.4190476190476193</v>
      </c>
    </row>
    <row r="28" spans="2:4" x14ac:dyDescent="0.3">
      <c r="C28" t="s">
        <v>23</v>
      </c>
      <c r="D28">
        <f>(0+(Porto!D47-J12)/(Ranking!K12-Ranking!J12)*(10-0))</f>
        <v>8.288333333333334</v>
      </c>
    </row>
    <row r="29" spans="2:4" x14ac:dyDescent="0.3">
      <c r="C29" t="s">
        <v>30</v>
      </c>
      <c r="D29">
        <f>(0+(Porto!C47-J13)/(Ranking!K13-Ranking!J13)*(10-0))</f>
        <v>8.1875</v>
      </c>
    </row>
    <row r="30" spans="2:4" x14ac:dyDescent="0.3">
      <c r="C30" t="s">
        <v>38</v>
      </c>
      <c r="D30">
        <f>(0+(Porto!B39-J14)/(Ranking!K14-Ranking!J14)*(5-0))</f>
        <v>0.37865089514386696</v>
      </c>
    </row>
    <row r="31" spans="2:4" x14ac:dyDescent="0.3">
      <c r="C31" s="1" t="s">
        <v>47</v>
      </c>
      <c r="D31" s="3">
        <f>SUM(D26:D30)</f>
        <v>30.869285296384756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"/>
  <sheetViews>
    <sheetView workbookViewId="0">
      <selection activeCell="B5" sqref="B5"/>
    </sheetView>
  </sheetViews>
  <sheetFormatPr defaultRowHeight="14.4" x14ac:dyDescent="0.3"/>
  <sheetData>
    <row r="3" spans="1:3" x14ac:dyDescent="0.3">
      <c r="A3" s="1" t="s">
        <v>19</v>
      </c>
      <c r="B3">
        <v>72.400000000000006</v>
      </c>
      <c r="C3" s="1" t="s">
        <v>20</v>
      </c>
    </row>
    <row r="4" spans="1:3" x14ac:dyDescent="0.3">
      <c r="A4" s="1" t="s">
        <v>21</v>
      </c>
      <c r="B4">
        <v>70.2</v>
      </c>
      <c r="C4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Lisboa</vt:lpstr>
      <vt:lpstr>Porto</vt:lpstr>
      <vt:lpstr>Ranking</vt:lpstr>
      <vt:lpstr>CO2 direct emission factors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2018-11-07T13:59:48Z</dcterms:created>
  <dcterms:modified xsi:type="dcterms:W3CDTF">2018-11-12T12:13:44Z</dcterms:modified>
</cp:coreProperties>
</file>