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Videos aulas\2-Termochemistry\"/>
    </mc:Choice>
  </mc:AlternateContent>
  <xr:revisionPtr revIDLastSave="0" documentId="13_ncr:1_{E99BB010-00BF-43F1-8934-8890DE126B25}" xr6:coauthVersionLast="45" xr6:coauthVersionMax="45" xr10:uidLastSave="{00000000-0000-0000-0000-000000000000}"/>
  <bookViews>
    <workbookView xWindow="-90" yWindow="-90" windowWidth="19380" windowHeight="10380" xr2:uid="{24BD9B35-1058-4CA4-A5BD-6D768E723824}"/>
  </bookViews>
  <sheets>
    <sheet name="P#3" sheetId="1" r:id="rId1"/>
    <sheet name="P#4" sheetId="2" r:id="rId2"/>
    <sheet name="P#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E18" i="1"/>
  <c r="D11" i="1"/>
  <c r="O23" i="3" l="1"/>
  <c r="K31" i="3"/>
  <c r="H36" i="3"/>
  <c r="O22" i="3"/>
  <c r="F26" i="3"/>
  <c r="O17" i="3" l="1"/>
  <c r="O25" i="3"/>
  <c r="F18" i="3"/>
  <c r="F35" i="3" l="1"/>
  <c r="J35" i="3"/>
  <c r="O24" i="3"/>
  <c r="O16" i="3"/>
  <c r="O15" i="3"/>
  <c r="O14" i="3"/>
  <c r="K10" i="3"/>
  <c r="K9" i="3"/>
  <c r="K8" i="3"/>
  <c r="D6" i="3" s="1"/>
  <c r="E6" i="3"/>
  <c r="P13" i="2" l="1"/>
  <c r="F13" i="2"/>
  <c r="J20" i="2"/>
  <c r="H18" i="2"/>
  <c r="D18" i="2"/>
  <c r="B18" i="2"/>
  <c r="F16" i="2"/>
  <c r="M13" i="2"/>
  <c r="B9" i="2"/>
  <c r="K9" i="1" l="1"/>
  <c r="K8" i="1"/>
  <c r="K7" i="1"/>
  <c r="K15" i="1"/>
  <c r="K13" i="1"/>
  <c r="K14" i="1"/>
  <c r="E5" i="1"/>
  <c r="D5" i="1"/>
  <c r="D21" i="1" l="1"/>
  <c r="L21" i="1" s="1"/>
</calcChain>
</file>

<file path=xl/sharedStrings.xml><?xml version="1.0" encoding="utf-8"?>
<sst xmlns="http://schemas.openxmlformats.org/spreadsheetml/2006/main" count="222" uniqueCount="65">
  <si>
    <t>Entalpia da combustão</t>
  </si>
  <si>
    <t>=</t>
  </si>
  <si>
    <t>Entalpia dos reagentes-Entalpia dos produtos</t>
  </si>
  <si>
    <t>C</t>
  </si>
  <si>
    <t>H</t>
  </si>
  <si>
    <t>®</t>
  </si>
  <si>
    <t>CO2</t>
  </si>
  <si>
    <t>+</t>
  </si>
  <si>
    <t>H2O</t>
  </si>
  <si>
    <t>(O2+3.76N2)</t>
  </si>
  <si>
    <t>N2</t>
  </si>
  <si>
    <t>Entalpia dos reagentes</t>
  </si>
  <si>
    <r>
      <t>H</t>
    </r>
    <r>
      <rPr>
        <vertAlign val="subscript"/>
        <sz val="11"/>
        <color theme="1"/>
        <rFont val="Calibri"/>
        <family val="2"/>
        <scheme val="minor"/>
      </rPr>
      <t>CH4</t>
    </r>
  </si>
  <si>
    <t>x</t>
  </si>
  <si>
    <t>kJ/kmol</t>
  </si>
  <si>
    <t>kJ</t>
  </si>
  <si>
    <r>
      <t>nCH4*h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</si>
  <si>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H</t>
    </r>
    <r>
      <rPr>
        <vertAlign val="subscript"/>
        <sz val="11"/>
        <color theme="1"/>
        <rFont val="Calibri"/>
        <family val="2"/>
        <scheme val="minor"/>
      </rPr>
      <t>O2</t>
    </r>
  </si>
  <si>
    <r>
      <t>H</t>
    </r>
    <r>
      <rPr>
        <vertAlign val="subscript"/>
        <sz val="11"/>
        <color theme="1"/>
        <rFont val="Calibri"/>
        <family val="2"/>
        <scheme val="minor"/>
      </rPr>
      <t>N2</t>
    </r>
  </si>
  <si>
    <r>
      <t>nO2*h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</si>
  <si>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nN2*h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</si>
  <si>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t>kmol</t>
  </si>
  <si>
    <t>Entalpia dos produtos</t>
  </si>
  <si>
    <r>
      <t>H</t>
    </r>
    <r>
      <rPr>
        <vertAlign val="subscript"/>
        <sz val="11"/>
        <color theme="1"/>
        <rFont val="Calibri"/>
        <family val="2"/>
        <scheme val="minor"/>
      </rPr>
      <t>CO2</t>
    </r>
  </si>
  <si>
    <r>
      <t>H</t>
    </r>
    <r>
      <rPr>
        <vertAlign val="subscript"/>
        <sz val="11"/>
        <color theme="1"/>
        <rFont val="Calibri"/>
        <family val="2"/>
        <scheme val="minor"/>
      </rPr>
      <t>H2O</t>
    </r>
  </si>
  <si>
    <r>
      <t>nH2O*h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</si>
  <si>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r>
      <t>nCO2*h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</t>
    </r>
  </si>
  <si>
    <t>Balanço de energia=balanço de entalpia</t>
  </si>
  <si>
    <t>LHV=Poder Calorifico Inferior</t>
  </si>
  <si>
    <t>MJ/kg</t>
  </si>
  <si>
    <t>HHV=Poder Calorifico Superior</t>
  </si>
  <si>
    <t>(44010 kJ/kmol*2kmol)/massa fuel</t>
  </si>
  <si>
    <t>Turbina a gás</t>
  </si>
  <si>
    <t>kW</t>
  </si>
  <si>
    <t>f</t>
  </si>
  <si>
    <t>??</t>
  </si>
  <si>
    <t>l</t>
  </si>
  <si>
    <t xml:space="preserve"> muito excesso de ar</t>
  </si>
  <si>
    <t>(A/F)/(A/F)s</t>
  </si>
  <si>
    <t>Determinação de (A/F)s</t>
  </si>
  <si>
    <t>(A/F)s</t>
  </si>
  <si>
    <t>massa de ar/massa de fuel</t>
  </si>
  <si>
    <t>A/F</t>
  </si>
  <si>
    <t>massa de fuel</t>
  </si>
  <si>
    <t>kg/s</t>
  </si>
  <si>
    <t>2000K</t>
  </si>
  <si>
    <t>Entalpia dos produtos 1a iteração</t>
  </si>
  <si>
    <r>
      <t>H</t>
    </r>
    <r>
      <rPr>
        <vertAlign val="subscript"/>
        <sz val="11"/>
        <color theme="1"/>
        <rFont val="Calibri"/>
        <family val="2"/>
        <scheme val="minor"/>
      </rPr>
      <t>reagentes</t>
    </r>
    <r>
      <rPr>
        <sz val="11"/>
        <color theme="1"/>
        <rFont val="Calibri"/>
        <family val="2"/>
        <scheme val="minor"/>
      </rPr>
      <t>=H</t>
    </r>
    <r>
      <rPr>
        <vertAlign val="subscript"/>
        <sz val="11"/>
        <color theme="1"/>
        <rFont val="Calibri"/>
        <family val="2"/>
        <scheme val="minor"/>
      </rPr>
      <t>produtos</t>
    </r>
    <r>
      <rPr>
        <sz val="11"/>
        <color theme="1"/>
        <rFont val="Calibri"/>
        <family val="2"/>
        <scheme val="minor"/>
      </rPr>
      <t xml:space="preserve"> -(n</t>
    </r>
    <r>
      <rPr>
        <vertAlign val="subscript"/>
        <sz val="11"/>
        <color theme="1"/>
        <rFont val="Calibri"/>
        <family val="2"/>
        <scheme val="minor"/>
      </rPr>
      <t>produtos</t>
    </r>
    <r>
      <rPr>
        <sz val="11"/>
        <color theme="1"/>
        <rFont val="Calibri"/>
        <family val="2"/>
        <scheme val="minor"/>
      </rPr>
      <t>*R*Tad-n</t>
    </r>
    <r>
      <rPr>
        <vertAlign val="subscript"/>
        <sz val="11"/>
        <color theme="1"/>
        <rFont val="Calibri"/>
        <family val="2"/>
        <scheme val="minor"/>
      </rPr>
      <t>reagentes</t>
    </r>
    <r>
      <rPr>
        <sz val="11"/>
        <color theme="1"/>
        <rFont val="Calibri"/>
        <family val="2"/>
        <scheme val="minor"/>
      </rPr>
      <t>*R*298)</t>
    </r>
  </si>
  <si>
    <t>Balanço de Energia</t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</si>
  <si>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</si>
  <si>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</si>
  <si>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r>
      <t>nN2*(h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(25ºC)+deltah(2000K))</t>
    </r>
  </si>
  <si>
    <t>Hprodutos -(nprodutos*R*Tad-nreagentes*R*298)=</t>
  </si>
  <si>
    <t>&lt;</t>
  </si>
  <si>
    <r>
      <t>H</t>
    </r>
    <r>
      <rPr>
        <vertAlign val="subscript"/>
        <sz val="11"/>
        <color theme="1"/>
        <rFont val="Calibri"/>
        <family val="2"/>
        <scheme val="minor"/>
      </rPr>
      <t>reagentes</t>
    </r>
  </si>
  <si>
    <t>Entalpia dos produtos 2a iteração</t>
  </si>
  <si>
    <t>3000K</t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</si>
  <si>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</si>
  <si>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</si>
  <si>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r>
      <t>nN2*(h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(25ºC)+deltah(3000K))</t>
    </r>
  </si>
  <si>
    <t>&gt;</t>
  </si>
  <si>
    <t>Tad</t>
  </si>
  <si>
    <t>Interpolação linear</t>
  </si>
  <si>
    <t>K</t>
  </si>
  <si>
    <t>Tad= 2000+(Hreagentes+366859)*(3000-2000)/(-10193.2+366859)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</si>
</sst>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</xdr:row>
      <xdr:rowOff>66675</xdr:rowOff>
    </xdr:from>
    <xdr:to>
      <xdr:col>8</xdr:col>
      <xdr:colOff>168275</xdr:colOff>
      <xdr:row>6</xdr:row>
      <xdr:rowOff>34925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7CD7F73-A048-452B-9774-F92CB849C65C}"/>
            </a:ext>
          </a:extLst>
        </xdr:cNvPr>
        <xdr:cNvSpPr/>
      </xdr:nvSpPr>
      <xdr:spPr>
        <a:xfrm>
          <a:off x="2978150" y="254000"/>
          <a:ext cx="2066925" cy="9048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</xdr:col>
      <xdr:colOff>546100</xdr:colOff>
      <xdr:row>1</xdr:row>
      <xdr:rowOff>161925</xdr:rowOff>
    </xdr:from>
    <xdr:to>
      <xdr:col>4</xdr:col>
      <xdr:colOff>466725</xdr:colOff>
      <xdr:row>1</xdr:row>
      <xdr:rowOff>174625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C3BE09F-3125-44F1-9C73-6626C25A9C08}"/>
            </a:ext>
          </a:extLst>
        </xdr:cNvPr>
        <xdr:cNvCxnSpPr/>
      </xdr:nvCxnSpPr>
      <xdr:spPr>
        <a:xfrm flipV="1">
          <a:off x="1765300" y="349250"/>
          <a:ext cx="1139825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155575</xdr:colOff>
      <xdr:row>5</xdr:row>
      <xdr:rowOff>66675</xdr:rowOff>
    </xdr:from>
    <xdr:to>
      <xdr:col>4</xdr:col>
      <xdr:colOff>523875</xdr:colOff>
      <xdr:row>5</xdr:row>
      <xdr:rowOff>69850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C83470F-1CE6-4FA1-88AF-65D34F7BFD76}"/>
            </a:ext>
          </a:extLst>
        </xdr:cNvPr>
        <xdr:cNvCxnSpPr/>
      </xdr:nvCxnSpPr>
      <xdr:spPr>
        <a:xfrm>
          <a:off x="2593975" y="1003300"/>
          <a:ext cx="368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187325</xdr:colOff>
      <xdr:row>3</xdr:row>
      <xdr:rowOff>158750</xdr:rowOff>
    </xdr:from>
    <xdr:to>
      <xdr:col>10</xdr:col>
      <xdr:colOff>107950</xdr:colOff>
      <xdr:row>3</xdr:row>
      <xdr:rowOff>171450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D744CDF-3931-4327-82CF-16B801870ED1}"/>
            </a:ext>
          </a:extLst>
        </xdr:cNvPr>
        <xdr:cNvCxnSpPr/>
      </xdr:nvCxnSpPr>
      <xdr:spPr>
        <a:xfrm flipV="1">
          <a:off x="5064125" y="720725"/>
          <a:ext cx="1139825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282575</xdr:colOff>
      <xdr:row>12</xdr:row>
      <xdr:rowOff>114300</xdr:rowOff>
    </xdr:from>
    <xdr:to>
      <xdr:col>11</xdr:col>
      <xdr:colOff>558800</xdr:colOff>
      <xdr:row>16</xdr:row>
      <xdr:rowOff>50800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8915BE65-55E9-4742-8011-6AD964D13968}"/>
            </a:ext>
          </a:extLst>
        </xdr:cNvPr>
        <xdr:cNvSpPr/>
      </xdr:nvSpPr>
      <xdr:spPr>
        <a:xfrm>
          <a:off x="7305675" y="2501900"/>
          <a:ext cx="276225" cy="8001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530225</xdr:colOff>
      <xdr:row>12</xdr:row>
      <xdr:rowOff>149224</xdr:rowOff>
    </xdr:from>
    <xdr:to>
      <xdr:col>9</xdr:col>
      <xdr:colOff>79375</xdr:colOff>
      <xdr:row>16</xdr:row>
      <xdr:rowOff>50799</xdr:rowOff>
    </xdr:to>
    <xdr:sp macro="" textlink="">
      <xdr:nvSpPr>
        <xdr:cNvPr id="4" name="Left Bracket 3">
          <a:extLst>
            <a:ext uri="{FF2B5EF4-FFF2-40B4-BE49-F238E27FC236}">
              <a16:creationId xmlns:a16="http://schemas.microsoft.com/office/drawing/2014/main" id="{6B548CD0-F44A-4EEA-A915-B08D88CA6F7E}"/>
            </a:ext>
          </a:extLst>
        </xdr:cNvPr>
        <xdr:cNvSpPr/>
      </xdr:nvSpPr>
      <xdr:spPr>
        <a:xfrm>
          <a:off x="5724525" y="2536824"/>
          <a:ext cx="158750" cy="7651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11</xdr:col>
      <xdr:colOff>282575</xdr:colOff>
      <xdr:row>20</xdr:row>
      <xdr:rowOff>114300</xdr:rowOff>
    </xdr:from>
    <xdr:to>
      <xdr:col>11</xdr:col>
      <xdr:colOff>558800</xdr:colOff>
      <xdr:row>24</xdr:row>
      <xdr:rowOff>50800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86A874A6-7466-4064-81BD-328C7BEDC9B0}"/>
            </a:ext>
          </a:extLst>
        </xdr:cNvPr>
        <xdr:cNvSpPr/>
      </xdr:nvSpPr>
      <xdr:spPr>
        <a:xfrm>
          <a:off x="7305675" y="2501900"/>
          <a:ext cx="276225" cy="8001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530225</xdr:colOff>
      <xdr:row>20</xdr:row>
      <xdr:rowOff>149224</xdr:rowOff>
    </xdr:from>
    <xdr:to>
      <xdr:col>9</xdr:col>
      <xdr:colOff>79375</xdr:colOff>
      <xdr:row>24</xdr:row>
      <xdr:rowOff>50799</xdr:rowOff>
    </xdr:to>
    <xdr:sp macro="" textlink="">
      <xdr:nvSpPr>
        <xdr:cNvPr id="6" name="Left Bracket 5">
          <a:extLst>
            <a:ext uri="{FF2B5EF4-FFF2-40B4-BE49-F238E27FC236}">
              <a16:creationId xmlns:a16="http://schemas.microsoft.com/office/drawing/2014/main" id="{614E74EA-0B54-41F0-B6BE-C1D9415998B3}"/>
            </a:ext>
          </a:extLst>
        </xdr:cNvPr>
        <xdr:cNvSpPr/>
      </xdr:nvSpPr>
      <xdr:spPr>
        <a:xfrm>
          <a:off x="5724525" y="2536824"/>
          <a:ext cx="158750" cy="7651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5</xdr:col>
      <xdr:colOff>165100</xdr:colOff>
      <xdr:row>27</xdr:row>
      <xdr:rowOff>6350</xdr:rowOff>
    </xdr:from>
    <xdr:to>
      <xdr:col>5</xdr:col>
      <xdr:colOff>168275</xdr:colOff>
      <xdr:row>33</xdr:row>
      <xdr:rowOff>111125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DFDD431-89A0-45EC-9302-3B76D922660A}"/>
            </a:ext>
          </a:extLst>
        </xdr:cNvPr>
        <xdr:cNvCxnSpPr/>
      </xdr:nvCxnSpPr>
      <xdr:spPr>
        <a:xfrm flipV="1">
          <a:off x="3530600" y="5483225"/>
          <a:ext cx="3175" cy="1228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33</xdr:row>
      <xdr:rowOff>101600</xdr:rowOff>
    </xdr:from>
    <xdr:to>
      <xdr:col>10</xdr:col>
      <xdr:colOff>25400</xdr:colOff>
      <xdr:row>33</xdr:row>
      <xdr:rowOff>107950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2EBCA2F2-89EB-4D39-BBC8-1B406EA50E6B}"/>
            </a:ext>
          </a:extLst>
        </xdr:cNvPr>
        <xdr:cNvCxnSpPr/>
      </xdr:nvCxnSpPr>
      <xdr:spPr>
        <a:xfrm flipV="1">
          <a:off x="3524250" y="6702425"/>
          <a:ext cx="29146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28</xdr:row>
      <xdr:rowOff>95250</xdr:rowOff>
    </xdr:from>
    <xdr:to>
      <xdr:col>9</xdr:col>
      <xdr:colOff>327025</xdr:colOff>
      <xdr:row>28</xdr:row>
      <xdr:rowOff>104775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94F4788-A836-4603-82C9-5B971AD56F70}"/>
            </a:ext>
          </a:extLst>
        </xdr:cNvPr>
        <xdr:cNvCxnSpPr/>
      </xdr:nvCxnSpPr>
      <xdr:spPr>
        <a:xfrm>
          <a:off x="3603625" y="5759450"/>
          <a:ext cx="2527300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32</xdr:row>
      <xdr:rowOff>114300</xdr:rowOff>
    </xdr:from>
    <xdr:to>
      <xdr:col>5</xdr:col>
      <xdr:colOff>476250</xdr:colOff>
      <xdr:row>32</xdr:row>
      <xdr:rowOff>120650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2186E3B-69AC-4D9C-9CA6-05F9CCA88732}"/>
            </a:ext>
          </a:extLst>
        </xdr:cNvPr>
        <xdr:cNvCxnSpPr/>
      </xdr:nvCxnSpPr>
      <xdr:spPr>
        <a:xfrm flipV="1">
          <a:off x="3584575" y="6527800"/>
          <a:ext cx="257175" cy="635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498475</xdr:colOff>
      <xdr:row>28</xdr:row>
      <xdr:rowOff>136525</xdr:rowOff>
    </xdr:from>
    <xdr:to>
      <xdr:col>9</xdr:col>
      <xdr:colOff>276225</xdr:colOff>
      <xdr:row>32</xdr:row>
      <xdr:rowOff>92075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C8C84F7-9A93-4C01-885C-559C7127C75B}"/>
            </a:ext>
          </a:extLst>
        </xdr:cNvPr>
        <xdr:cNvCxnSpPr/>
      </xdr:nvCxnSpPr>
      <xdr:spPr>
        <a:xfrm flipV="1">
          <a:off x="3863975" y="5800725"/>
          <a:ext cx="22161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30</xdr:row>
      <xdr:rowOff>95250</xdr:rowOff>
    </xdr:from>
    <xdr:to>
      <xdr:col>7</xdr:col>
      <xdr:colOff>422275</xdr:colOff>
      <xdr:row>30</xdr:row>
      <xdr:rowOff>98425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D16DD15-8B6F-4EAC-B8C3-0D29A0B2DCD6}"/>
            </a:ext>
          </a:extLst>
        </xdr:cNvPr>
        <xdr:cNvCxnSpPr/>
      </xdr:nvCxnSpPr>
      <xdr:spPr>
        <a:xfrm flipV="1">
          <a:off x="3556000" y="6134100"/>
          <a:ext cx="1450975" cy="317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409575</xdr:colOff>
      <xdr:row>30</xdr:row>
      <xdr:rowOff>133350</xdr:rowOff>
    </xdr:from>
    <xdr:to>
      <xdr:col>7</xdr:col>
      <xdr:colOff>412750</xdr:colOff>
      <xdr:row>33</xdr:row>
      <xdr:rowOff>60325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83D7530C-F383-4510-8D29-0C13FE72E8EC}"/>
            </a:ext>
          </a:extLst>
        </xdr:cNvPr>
        <xdr:cNvCxnSpPr/>
      </xdr:nvCxnSpPr>
      <xdr:spPr>
        <a:xfrm>
          <a:off x="4994275" y="6172200"/>
          <a:ext cx="3175" cy="488950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DB7E-6511-4BB8-86B9-15E976E455E8}">
  <dimension ref="A1:Q21"/>
  <sheetViews>
    <sheetView tabSelected="1" workbookViewId="0">
      <selection activeCell="D21" sqref="D21"/>
    </sheetView>
  </sheetViews>
  <sheetFormatPr defaultRowHeight="14.75" x14ac:dyDescent="0.75"/>
  <cols>
    <col min="3" max="3" width="13.26953125" bestFit="1" customWidth="1"/>
  </cols>
  <sheetData>
    <row r="1" spans="1:17" x14ac:dyDescent="0.75">
      <c r="A1" t="s">
        <v>0</v>
      </c>
      <c r="D1" t="s">
        <v>1</v>
      </c>
      <c r="E1" t="s">
        <v>2</v>
      </c>
    </row>
    <row r="3" spans="1:17" x14ac:dyDescent="0.75">
      <c r="A3" t="s">
        <v>3</v>
      </c>
      <c r="B3">
        <v>1</v>
      </c>
      <c r="C3" t="s">
        <v>4</v>
      </c>
      <c r="D3">
        <v>4</v>
      </c>
      <c r="E3" s="2" t="s">
        <v>7</v>
      </c>
      <c r="F3">
        <v>2</v>
      </c>
      <c r="G3" t="s">
        <v>9</v>
      </c>
      <c r="I3" s="1" t="s">
        <v>5</v>
      </c>
      <c r="J3">
        <v>1</v>
      </c>
      <c r="K3" t="s">
        <v>6</v>
      </c>
      <c r="L3" s="2" t="s">
        <v>7</v>
      </c>
      <c r="M3">
        <v>2</v>
      </c>
      <c r="N3" t="s">
        <v>8</v>
      </c>
      <c r="O3" s="2" t="s">
        <v>7</v>
      </c>
      <c r="P3">
        <v>7.52</v>
      </c>
      <c r="Q3" t="s">
        <v>10</v>
      </c>
    </row>
    <row r="5" spans="1:17" x14ac:dyDescent="0.75">
      <c r="A5" t="s">
        <v>11</v>
      </c>
      <c r="D5">
        <f>K7</f>
        <v>-74873</v>
      </c>
      <c r="E5" t="str">
        <f>L7</f>
        <v>kJ</v>
      </c>
    </row>
    <row r="7" spans="1:17" ht="17.75" x14ac:dyDescent="0.95">
      <c r="A7" t="s">
        <v>12</v>
      </c>
      <c r="B7" t="s">
        <v>1</v>
      </c>
      <c r="C7" t="s">
        <v>16</v>
      </c>
      <c r="D7" t="s">
        <v>1</v>
      </c>
      <c r="E7">
        <v>1</v>
      </c>
      <c r="F7" t="s">
        <v>21</v>
      </c>
      <c r="G7" s="2" t="s">
        <v>13</v>
      </c>
      <c r="H7">
        <v>-74873</v>
      </c>
      <c r="I7" t="s">
        <v>14</v>
      </c>
      <c r="J7" s="2" t="s">
        <v>1</v>
      </c>
      <c r="K7">
        <f>H7*E7</f>
        <v>-74873</v>
      </c>
      <c r="L7" t="s">
        <v>15</v>
      </c>
    </row>
    <row r="8" spans="1:17" ht="17.75" x14ac:dyDescent="0.95">
      <c r="A8" t="s">
        <v>17</v>
      </c>
      <c r="B8" t="s">
        <v>1</v>
      </c>
      <c r="C8" t="s">
        <v>19</v>
      </c>
      <c r="D8" t="s">
        <v>1</v>
      </c>
      <c r="E8">
        <v>2</v>
      </c>
      <c r="F8" t="s">
        <v>21</v>
      </c>
      <c r="G8" s="2" t="s">
        <v>13</v>
      </c>
      <c r="H8">
        <v>0</v>
      </c>
      <c r="I8" t="s">
        <v>14</v>
      </c>
      <c r="J8" s="2" t="s">
        <v>1</v>
      </c>
      <c r="K8">
        <f>H8*E8</f>
        <v>0</v>
      </c>
      <c r="L8" t="s">
        <v>15</v>
      </c>
    </row>
    <row r="9" spans="1:17" ht="17.75" x14ac:dyDescent="0.95">
      <c r="A9" t="s">
        <v>18</v>
      </c>
      <c r="B9" t="s">
        <v>1</v>
      </c>
      <c r="C9" t="s">
        <v>20</v>
      </c>
      <c r="D9" t="s">
        <v>1</v>
      </c>
      <c r="E9">
        <v>7.52</v>
      </c>
      <c r="F9" t="s">
        <v>21</v>
      </c>
      <c r="G9" s="2" t="s">
        <v>13</v>
      </c>
      <c r="H9">
        <v>0</v>
      </c>
      <c r="I9" t="s">
        <v>14</v>
      </c>
      <c r="J9" s="2" t="s">
        <v>1</v>
      </c>
      <c r="K9">
        <f>H9*E9</f>
        <v>0</v>
      </c>
      <c r="L9" t="s">
        <v>15</v>
      </c>
    </row>
    <row r="11" spans="1:17" x14ac:dyDescent="0.75">
      <c r="A11" t="s">
        <v>22</v>
      </c>
      <c r="D11">
        <f>K13+K14</f>
        <v>-877214</v>
      </c>
    </row>
    <row r="13" spans="1:17" ht="17.75" x14ac:dyDescent="0.95">
      <c r="A13" t="s">
        <v>23</v>
      </c>
      <c r="B13" t="s">
        <v>1</v>
      </c>
      <c r="C13" t="s">
        <v>26</v>
      </c>
      <c r="D13" t="s">
        <v>1</v>
      </c>
      <c r="E13">
        <v>1</v>
      </c>
      <c r="F13" t="s">
        <v>21</v>
      </c>
      <c r="G13" s="2" t="s">
        <v>13</v>
      </c>
      <c r="H13">
        <v>-393522</v>
      </c>
      <c r="I13" t="s">
        <v>14</v>
      </c>
      <c r="J13" s="2" t="s">
        <v>1</v>
      </c>
      <c r="K13">
        <f>H13*E13</f>
        <v>-393522</v>
      </c>
      <c r="L13" t="s">
        <v>15</v>
      </c>
    </row>
    <row r="14" spans="1:17" ht="17.75" x14ac:dyDescent="0.95">
      <c r="A14" t="s">
        <v>24</v>
      </c>
      <c r="B14" t="s">
        <v>1</v>
      </c>
      <c r="C14" t="s">
        <v>25</v>
      </c>
      <c r="D14" t="s">
        <v>1</v>
      </c>
      <c r="E14">
        <v>2</v>
      </c>
      <c r="F14" t="s">
        <v>21</v>
      </c>
      <c r="G14" s="2" t="s">
        <v>13</v>
      </c>
      <c r="H14">
        <v>-241846</v>
      </c>
      <c r="I14" t="s">
        <v>14</v>
      </c>
      <c r="J14" s="2" t="s">
        <v>1</v>
      </c>
      <c r="K14">
        <f>H14*E14</f>
        <v>-483692</v>
      </c>
      <c r="L14" t="s">
        <v>15</v>
      </c>
    </row>
    <row r="15" spans="1:17" ht="17.75" x14ac:dyDescent="0.95">
      <c r="A15" t="s">
        <v>18</v>
      </c>
      <c r="B15" t="s">
        <v>1</v>
      </c>
      <c r="C15" t="s">
        <v>20</v>
      </c>
      <c r="D15" t="s">
        <v>1</v>
      </c>
      <c r="E15">
        <v>7.52</v>
      </c>
      <c r="F15" t="s">
        <v>21</v>
      </c>
      <c r="G15" s="2" t="s">
        <v>13</v>
      </c>
      <c r="H15">
        <v>0</v>
      </c>
      <c r="I15" t="s">
        <v>14</v>
      </c>
      <c r="J15" s="2" t="s">
        <v>1</v>
      </c>
      <c r="K15">
        <f>H15*E15</f>
        <v>0</v>
      </c>
      <c r="L15" t="s">
        <v>15</v>
      </c>
    </row>
    <row r="18" spans="1:13" x14ac:dyDescent="0.75">
      <c r="A18" t="s">
        <v>27</v>
      </c>
      <c r="E18">
        <f>D5-D11</f>
        <v>802341</v>
      </c>
      <c r="F18" t="s">
        <v>15</v>
      </c>
    </row>
    <row r="20" spans="1:13" x14ac:dyDescent="0.75">
      <c r="A20" t="s">
        <v>28</v>
      </c>
      <c r="D20">
        <f>E18*10^-3/(1*12+4*1)</f>
        <v>50.146312500000001</v>
      </c>
      <c r="E20" t="s">
        <v>29</v>
      </c>
    </row>
    <row r="21" spans="1:13" ht="21" x14ac:dyDescent="1">
      <c r="A21" t="s">
        <v>30</v>
      </c>
      <c r="D21">
        <f>D20</f>
        <v>50.146312500000001</v>
      </c>
      <c r="E21" t="s">
        <v>29</v>
      </c>
      <c r="F21" t="s">
        <v>7</v>
      </c>
      <c r="G21" s="3" t="s">
        <v>31</v>
      </c>
      <c r="L21">
        <f>D21+44010*E14/(B3*12+D3*1)*10^-3</f>
        <v>55.647562499999999</v>
      </c>
      <c r="M21" t="s">
        <v>29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C5FD-F7FC-4FFC-B966-151FA91A7324}">
  <dimension ref="A1:Q20"/>
  <sheetViews>
    <sheetView workbookViewId="0">
      <selection activeCell="P14" sqref="P14"/>
    </sheetView>
  </sheetViews>
  <sheetFormatPr defaultRowHeight="14.75" x14ac:dyDescent="0.75"/>
  <sheetData>
    <row r="1" spans="1:17" x14ac:dyDescent="0.75">
      <c r="A1" s="5" t="s">
        <v>32</v>
      </c>
      <c r="D1">
        <v>15.9</v>
      </c>
      <c r="E1" t="s">
        <v>44</v>
      </c>
    </row>
    <row r="3" spans="1:17" x14ac:dyDescent="0.75">
      <c r="A3">
        <v>3950</v>
      </c>
      <c r="B3" t="s">
        <v>33</v>
      </c>
    </row>
    <row r="4" spans="1:17" x14ac:dyDescent="0.75">
      <c r="A4" s="4" t="s">
        <v>34</v>
      </c>
      <c r="B4">
        <v>0.28599999999999998</v>
      </c>
    </row>
    <row r="5" spans="1:17" x14ac:dyDescent="0.75">
      <c r="E5" t="s">
        <v>35</v>
      </c>
    </row>
    <row r="9" spans="1:17" x14ac:dyDescent="0.75">
      <c r="A9" s="4" t="s">
        <v>36</v>
      </c>
      <c r="B9">
        <f>1/B4</f>
        <v>3.4965034965034967</v>
      </c>
      <c r="C9" t="s">
        <v>37</v>
      </c>
      <c r="E9" t="s">
        <v>38</v>
      </c>
    </row>
    <row r="11" spans="1:17" x14ac:dyDescent="0.75">
      <c r="A11" t="s">
        <v>39</v>
      </c>
    </row>
    <row r="13" spans="1:17" x14ac:dyDescent="0.75">
      <c r="A13" t="s">
        <v>3</v>
      </c>
      <c r="B13">
        <v>1.1599999999999999</v>
      </c>
      <c r="C13" t="s">
        <v>4</v>
      </c>
      <c r="D13">
        <v>4.32</v>
      </c>
      <c r="E13" s="2" t="s">
        <v>7</v>
      </c>
      <c r="F13">
        <f>J13+M13/2</f>
        <v>2.2400000000000002</v>
      </c>
      <c r="G13" t="s">
        <v>9</v>
      </c>
      <c r="I13" s="4" t="s">
        <v>5</v>
      </c>
      <c r="J13">
        <v>1.1599999999999999</v>
      </c>
      <c r="K13" t="s">
        <v>6</v>
      </c>
      <c r="L13" s="2" t="s">
        <v>7</v>
      </c>
      <c r="M13">
        <f>D13/2</f>
        <v>2.16</v>
      </c>
      <c r="N13" t="s">
        <v>8</v>
      </c>
      <c r="O13" s="2" t="s">
        <v>7</v>
      </c>
      <c r="P13">
        <f>F13*3.76</f>
        <v>8.4223999999999997</v>
      </c>
      <c r="Q13" t="s">
        <v>10</v>
      </c>
    </row>
    <row r="16" spans="1:17" x14ac:dyDescent="0.75">
      <c r="B16" t="s">
        <v>40</v>
      </c>
      <c r="C16" t="s">
        <v>41</v>
      </c>
      <c r="F16">
        <f>F13*(2*16+3.76*2*14)/(B13*12+D13*1)</f>
        <v>16.858947368421056</v>
      </c>
    </row>
    <row r="18" spans="2:11" x14ac:dyDescent="0.75">
      <c r="B18">
        <f>B9</f>
        <v>3.4965034965034967</v>
      </c>
      <c r="C18" s="2" t="s">
        <v>13</v>
      </c>
      <c r="D18">
        <f>F16</f>
        <v>16.858947368421056</v>
      </c>
      <c r="E18" t="s">
        <v>1</v>
      </c>
      <c r="F18" t="s">
        <v>42</v>
      </c>
      <c r="G18" t="s">
        <v>1</v>
      </c>
      <c r="H18">
        <f>B18*D18</f>
        <v>58.947368421052644</v>
      </c>
      <c r="I18" t="s">
        <v>1</v>
      </c>
      <c r="J18" t="s">
        <v>41</v>
      </c>
    </row>
    <row r="20" spans="2:11" x14ac:dyDescent="0.75">
      <c r="H20" t="s">
        <v>43</v>
      </c>
      <c r="J20">
        <f>D1/H18</f>
        <v>0.26973214285714281</v>
      </c>
      <c r="K20" t="s">
        <v>44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2BB5-7E15-4D1D-94B3-BEF46E4F6D46}">
  <dimension ref="A1:Q36"/>
  <sheetViews>
    <sheetView topLeftCell="A16" workbookViewId="0">
      <selection activeCell="C31" sqref="C31"/>
    </sheetView>
  </sheetViews>
  <sheetFormatPr defaultRowHeight="14.75" x14ac:dyDescent="0.75"/>
  <cols>
    <col min="3" max="3" width="13.26953125" bestFit="1" customWidth="1"/>
  </cols>
  <sheetData>
    <row r="1" spans="1:17" x14ac:dyDescent="0.75">
      <c r="A1" t="s">
        <v>3</v>
      </c>
      <c r="B1">
        <v>1</v>
      </c>
      <c r="C1" t="s">
        <v>4</v>
      </c>
      <c r="D1">
        <v>4</v>
      </c>
      <c r="E1" s="2" t="s">
        <v>7</v>
      </c>
      <c r="F1">
        <v>2</v>
      </c>
      <c r="G1" t="s">
        <v>9</v>
      </c>
      <c r="I1" s="1" t="s">
        <v>5</v>
      </c>
      <c r="J1">
        <v>1</v>
      </c>
      <c r="K1" t="s">
        <v>6</v>
      </c>
      <c r="L1" s="2" t="s">
        <v>7</v>
      </c>
      <c r="M1">
        <v>2</v>
      </c>
      <c r="N1" t="s">
        <v>8</v>
      </c>
      <c r="O1" s="2" t="s">
        <v>7</v>
      </c>
      <c r="P1">
        <v>7.52</v>
      </c>
      <c r="Q1" t="s">
        <v>10</v>
      </c>
    </row>
    <row r="3" spans="1:17" x14ac:dyDescent="0.75">
      <c r="A3" s="5" t="s">
        <v>48</v>
      </c>
    </row>
    <row r="4" spans="1:17" ht="16.75" x14ac:dyDescent="0.95">
      <c r="A4" t="s">
        <v>47</v>
      </c>
    </row>
    <row r="6" spans="1:17" x14ac:dyDescent="0.75">
      <c r="A6" t="s">
        <v>11</v>
      </c>
      <c r="D6">
        <f>K8</f>
        <v>-74873</v>
      </c>
      <c r="E6" t="str">
        <f>L8</f>
        <v>kJ</v>
      </c>
    </row>
    <row r="8" spans="1:17" ht="17.75" x14ac:dyDescent="0.95">
      <c r="A8" t="s">
        <v>12</v>
      </c>
      <c r="B8" t="s">
        <v>1</v>
      </c>
      <c r="C8" t="s">
        <v>16</v>
      </c>
      <c r="D8" t="s">
        <v>1</v>
      </c>
      <c r="E8">
        <v>1</v>
      </c>
      <c r="F8" t="s">
        <v>21</v>
      </c>
      <c r="G8" s="2" t="s">
        <v>13</v>
      </c>
      <c r="H8">
        <v>-74873</v>
      </c>
      <c r="I8" t="s">
        <v>14</v>
      </c>
      <c r="J8" s="2" t="s">
        <v>1</v>
      </c>
      <c r="K8">
        <f>H8*E8</f>
        <v>-74873</v>
      </c>
      <c r="L8" t="s">
        <v>15</v>
      </c>
    </row>
    <row r="9" spans="1:17" ht="17.75" x14ac:dyDescent="0.95">
      <c r="A9" t="s">
        <v>17</v>
      </c>
      <c r="B9" t="s">
        <v>1</v>
      </c>
      <c r="C9" t="s">
        <v>19</v>
      </c>
      <c r="D9" t="s">
        <v>1</v>
      </c>
      <c r="E9">
        <v>2</v>
      </c>
      <c r="F9" t="s">
        <v>21</v>
      </c>
      <c r="G9" s="2" t="s">
        <v>13</v>
      </c>
      <c r="H9">
        <v>0</v>
      </c>
      <c r="I9" t="s">
        <v>14</v>
      </c>
      <c r="J9" s="2" t="s">
        <v>1</v>
      </c>
      <c r="K9">
        <f>H9*E9</f>
        <v>0</v>
      </c>
      <c r="L9" t="s">
        <v>15</v>
      </c>
    </row>
    <row r="10" spans="1:17" ht="17.75" x14ac:dyDescent="0.95">
      <c r="A10" t="s">
        <v>18</v>
      </c>
      <c r="B10" t="s">
        <v>1</v>
      </c>
      <c r="C10" t="s">
        <v>20</v>
      </c>
      <c r="D10" t="s">
        <v>1</v>
      </c>
      <c r="E10">
        <v>7.52</v>
      </c>
      <c r="F10" t="s">
        <v>21</v>
      </c>
      <c r="G10" s="2" t="s">
        <v>13</v>
      </c>
      <c r="H10">
        <v>0</v>
      </c>
      <c r="I10" t="s">
        <v>14</v>
      </c>
      <c r="J10" s="2" t="s">
        <v>1</v>
      </c>
      <c r="K10">
        <f>H10*E10</f>
        <v>0</v>
      </c>
      <c r="L10" t="s">
        <v>15</v>
      </c>
    </row>
    <row r="12" spans="1:17" x14ac:dyDescent="0.75">
      <c r="A12" t="s">
        <v>46</v>
      </c>
      <c r="D12" s="5" t="s">
        <v>45</v>
      </c>
    </row>
    <row r="14" spans="1:17" ht="17.75" x14ac:dyDescent="0.95">
      <c r="A14" t="s">
        <v>23</v>
      </c>
      <c r="B14" t="s">
        <v>1</v>
      </c>
      <c r="C14" t="s">
        <v>49</v>
      </c>
      <c r="F14" s="2" t="s">
        <v>1</v>
      </c>
      <c r="G14">
        <v>1</v>
      </c>
      <c r="H14" t="s">
        <v>21</v>
      </c>
      <c r="I14" s="2" t="s">
        <v>13</v>
      </c>
      <c r="J14">
        <v>-393522</v>
      </c>
      <c r="K14" s="2" t="s">
        <v>7</v>
      </c>
      <c r="L14" s="6">
        <v>91420</v>
      </c>
      <c r="M14" t="s">
        <v>14</v>
      </c>
      <c r="N14" s="2" t="s">
        <v>1</v>
      </c>
      <c r="O14">
        <f>G14*(J14+L14)</f>
        <v>-302102</v>
      </c>
      <c r="P14" t="s">
        <v>15</v>
      </c>
    </row>
    <row r="15" spans="1:17" ht="17.75" x14ac:dyDescent="0.95">
      <c r="A15" t="s">
        <v>24</v>
      </c>
      <c r="B15" t="s">
        <v>1</v>
      </c>
      <c r="C15" t="s">
        <v>50</v>
      </c>
      <c r="F15" s="2" t="s">
        <v>1</v>
      </c>
      <c r="G15">
        <v>2</v>
      </c>
      <c r="H15" t="s">
        <v>21</v>
      </c>
      <c r="I15" s="2" t="s">
        <v>13</v>
      </c>
      <c r="J15">
        <v>-241846</v>
      </c>
      <c r="K15" s="2" t="s">
        <v>7</v>
      </c>
      <c r="L15" s="6">
        <v>72850</v>
      </c>
      <c r="M15" t="s">
        <v>14</v>
      </c>
      <c r="N15" s="2" t="s">
        <v>1</v>
      </c>
      <c r="O15">
        <f>G15*(J15+L15)</f>
        <v>-337992</v>
      </c>
      <c r="P15" t="s">
        <v>15</v>
      </c>
    </row>
    <row r="16" spans="1:17" ht="17.75" x14ac:dyDescent="0.95">
      <c r="A16" t="s">
        <v>18</v>
      </c>
      <c r="B16" t="s">
        <v>1</v>
      </c>
      <c r="C16" t="s">
        <v>51</v>
      </c>
      <c r="F16" s="2" t="s">
        <v>1</v>
      </c>
      <c r="G16">
        <v>7.52</v>
      </c>
      <c r="H16" t="s">
        <v>21</v>
      </c>
      <c r="I16" s="2" t="s">
        <v>13</v>
      </c>
      <c r="J16">
        <v>0</v>
      </c>
      <c r="K16" s="2" t="s">
        <v>7</v>
      </c>
      <c r="L16" s="6">
        <v>56130</v>
      </c>
      <c r="M16" t="s">
        <v>14</v>
      </c>
      <c r="N16" s="2" t="s">
        <v>1</v>
      </c>
      <c r="O16">
        <f>G16*(J16+L16)</f>
        <v>422097.6</v>
      </c>
      <c r="P16" t="s">
        <v>15</v>
      </c>
    </row>
    <row r="17" spans="1:16" x14ac:dyDescent="0.75">
      <c r="O17">
        <f>SUM(O14:O16)</f>
        <v>-217996.40000000002</v>
      </c>
      <c r="P17" t="s">
        <v>15</v>
      </c>
    </row>
    <row r="18" spans="1:16" ht="16.75" x14ac:dyDescent="0.95">
      <c r="A18" t="s">
        <v>52</v>
      </c>
      <c r="F18">
        <f>(SUM(O14:O16)-8.314*(SUM(J1,M1,P1)*2000-(1+2+7.52)*298))</f>
        <v>-366858.90256000008</v>
      </c>
      <c r="G18" t="s">
        <v>15</v>
      </c>
      <c r="H18" t="s">
        <v>53</v>
      </c>
      <c r="I18" t="s">
        <v>54</v>
      </c>
    </row>
    <row r="20" spans="1:16" x14ac:dyDescent="0.75">
      <c r="A20" t="s">
        <v>55</v>
      </c>
      <c r="D20" s="5" t="s">
        <v>56</v>
      </c>
    </row>
    <row r="22" spans="1:16" ht="17.75" x14ac:dyDescent="0.95">
      <c r="A22" t="s">
        <v>23</v>
      </c>
      <c r="B22" t="s">
        <v>1</v>
      </c>
      <c r="C22" t="s">
        <v>57</v>
      </c>
      <c r="F22" s="2" t="s">
        <v>1</v>
      </c>
      <c r="G22">
        <v>1</v>
      </c>
      <c r="H22" t="s">
        <v>21</v>
      </c>
      <c r="I22" s="2" t="s">
        <v>13</v>
      </c>
      <c r="J22">
        <v>-393522</v>
      </c>
      <c r="K22" s="2" t="s">
        <v>7</v>
      </c>
      <c r="L22" s="6">
        <v>152891</v>
      </c>
      <c r="M22" t="s">
        <v>14</v>
      </c>
      <c r="N22" s="2" t="s">
        <v>1</v>
      </c>
      <c r="O22">
        <f>G22*(J22+L22)</f>
        <v>-240631</v>
      </c>
    </row>
    <row r="23" spans="1:16" ht="17.75" x14ac:dyDescent="0.95">
      <c r="A23" t="s">
        <v>24</v>
      </c>
      <c r="B23" t="s">
        <v>1</v>
      </c>
      <c r="C23" t="s">
        <v>58</v>
      </c>
      <c r="F23" s="2" t="s">
        <v>1</v>
      </c>
      <c r="G23">
        <v>2</v>
      </c>
      <c r="H23" t="s">
        <v>21</v>
      </c>
      <c r="I23" s="2" t="s">
        <v>13</v>
      </c>
      <c r="J23">
        <v>-241846</v>
      </c>
      <c r="K23" s="2" t="s">
        <v>7</v>
      </c>
      <c r="L23" s="6">
        <v>126563</v>
      </c>
      <c r="M23" t="s">
        <v>14</v>
      </c>
      <c r="N23" s="2" t="s">
        <v>1</v>
      </c>
      <c r="O23">
        <f>G23*(J23+L23)</f>
        <v>-230566</v>
      </c>
    </row>
    <row r="24" spans="1:16" ht="17.75" x14ac:dyDescent="0.95">
      <c r="A24" t="s">
        <v>18</v>
      </c>
      <c r="B24" t="s">
        <v>1</v>
      </c>
      <c r="C24" t="s">
        <v>59</v>
      </c>
      <c r="F24" s="2" t="s">
        <v>1</v>
      </c>
      <c r="G24">
        <v>7.52</v>
      </c>
      <c r="H24" t="s">
        <v>21</v>
      </c>
      <c r="I24" s="2" t="s">
        <v>13</v>
      </c>
      <c r="J24">
        <v>0</v>
      </c>
      <c r="K24" s="2" t="s">
        <v>7</v>
      </c>
      <c r="L24" s="6">
        <v>92730</v>
      </c>
      <c r="M24" t="s">
        <v>14</v>
      </c>
      <c r="N24" s="2" t="s">
        <v>1</v>
      </c>
      <c r="O24">
        <f>G24*(J24+L24)</f>
        <v>697329.6</v>
      </c>
    </row>
    <row r="25" spans="1:16" x14ac:dyDescent="0.75">
      <c r="O25">
        <f>SUM(O22:O24)</f>
        <v>226132.59999999998</v>
      </c>
    </row>
    <row r="26" spans="1:16" ht="16.75" x14ac:dyDescent="0.95">
      <c r="A26" t="s">
        <v>52</v>
      </c>
      <c r="F26">
        <f>(SUM(O22:O24)-8.314*(SUM(J1,M1,P1)*3000-(1+2+7.52)*298))</f>
        <v>-10193.182560000045</v>
      </c>
      <c r="G26" t="s">
        <v>15</v>
      </c>
      <c r="H26" t="s">
        <v>60</v>
      </c>
      <c r="I26" t="s">
        <v>54</v>
      </c>
    </row>
    <row r="28" spans="1:16" x14ac:dyDescent="0.75">
      <c r="K28" s="5" t="s">
        <v>62</v>
      </c>
    </row>
    <row r="29" spans="1:16" x14ac:dyDescent="0.75">
      <c r="E29">
        <v>3000</v>
      </c>
    </row>
    <row r="30" spans="1:16" x14ac:dyDescent="0.75">
      <c r="K30" s="8" t="s">
        <v>64</v>
      </c>
      <c r="L30" s="8"/>
    </row>
    <row r="31" spans="1:16" x14ac:dyDescent="0.75">
      <c r="E31" s="7" t="s">
        <v>61</v>
      </c>
      <c r="K31">
        <f xml:space="preserve"> 2000+(-74873+366859)*(3000-2000)/(-10193.2+366859)</f>
        <v>2818.6543257020999</v>
      </c>
      <c r="L31" t="s">
        <v>63</v>
      </c>
    </row>
    <row r="33" spans="5:10" x14ac:dyDescent="0.75">
      <c r="E33">
        <v>2000</v>
      </c>
    </row>
    <row r="35" spans="5:10" ht="16.75" x14ac:dyDescent="0.95">
      <c r="F35">
        <f>F18</f>
        <v>-366858.90256000008</v>
      </c>
      <c r="H35" t="s">
        <v>54</v>
      </c>
      <c r="J35">
        <f>F26</f>
        <v>-10193.182560000045</v>
      </c>
    </row>
    <row r="36" spans="5:10" x14ac:dyDescent="0.75">
      <c r="H36">
        <f>D6</f>
        <v>-74873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P#3</vt:lpstr>
      <vt:lpstr>P#4</vt:lpstr>
      <vt:lpstr>P#7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2020-03-31T10:58:56Z</dcterms:created>
  <dcterms:modified xsi:type="dcterms:W3CDTF">2020-04-11T10:42:16Z</dcterms:modified>
</cp:coreProperties>
</file>