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6260" windowHeight="6360" activeTab="2"/>
  </bookViews>
  <sheets>
    <sheet name="Enunciado" sheetId="1" r:id="rId1"/>
    <sheet name="Formulario" sheetId="2" r:id="rId2"/>
    <sheet name="Parte I" sheetId="4" r:id="rId3"/>
    <sheet name="Parte II" sheetId="3" r:id="rId4"/>
  </sheets>
  <calcPr calcId="145621"/>
</workbook>
</file>

<file path=xl/calcChain.xml><?xml version="1.0" encoding="utf-8"?>
<calcChain xmlns="http://schemas.openxmlformats.org/spreadsheetml/2006/main">
  <c r="A3" i="4" l="1"/>
  <c r="A4" i="4"/>
  <c r="A5" i="4"/>
  <c r="A6" i="4" s="1"/>
  <c r="A7" i="4" s="1"/>
  <c r="A8" i="4" s="1"/>
  <c r="A9" i="4" s="1"/>
  <c r="A10" i="4" s="1"/>
  <c r="A2" i="4"/>
  <c r="G39" i="3" l="1"/>
  <c r="M37" i="3"/>
  <c r="O59" i="3"/>
  <c r="G40" i="3"/>
  <c r="M38" i="3"/>
  <c r="H39" i="3" l="1"/>
  <c r="H78" i="3"/>
  <c r="J74" i="3"/>
  <c r="U73" i="3" s="1"/>
  <c r="I74" i="3"/>
  <c r="H74" i="3"/>
  <c r="R73" i="3" s="1"/>
  <c r="G74" i="3"/>
  <c r="M82" i="3"/>
  <c r="P73" i="3"/>
  <c r="H65" i="3"/>
  <c r="H64" i="3"/>
  <c r="M64" i="3"/>
  <c r="H63" i="3"/>
  <c r="H61" i="3"/>
  <c r="O58" i="3"/>
  <c r="H60" i="3"/>
  <c r="W55" i="3"/>
  <c r="M55" i="3"/>
  <c r="U55" i="3"/>
  <c r="J56" i="3"/>
  <c r="H56" i="3"/>
  <c r="R55" i="3" s="1"/>
  <c r="G56" i="3"/>
  <c r="P55" i="3" s="1"/>
  <c r="D17" i="2"/>
  <c r="G34" i="3"/>
  <c r="G36" i="3" s="1"/>
  <c r="O30" i="3"/>
  <c r="G32" i="3"/>
  <c r="F32" i="3"/>
  <c r="F34" i="3" s="1"/>
  <c r="F36" i="3" s="1"/>
  <c r="G19" i="3"/>
  <c r="G17" i="3"/>
  <c r="F17" i="3"/>
  <c r="I56" i="3" s="1"/>
  <c r="G26" i="3"/>
  <c r="F26" i="3"/>
  <c r="A4" i="3"/>
  <c r="A5" i="3" s="1"/>
  <c r="A6" i="3" s="1"/>
  <c r="A7" i="3" s="1"/>
  <c r="A8" i="3" s="1"/>
  <c r="A9" i="3" s="1"/>
  <c r="A10" i="3" s="1"/>
  <c r="A11" i="3" s="1"/>
  <c r="A12" i="3" s="1"/>
  <c r="O77" i="3" l="1"/>
  <c r="H79" i="3" s="1"/>
  <c r="M73" i="3"/>
  <c r="W73" i="3" s="1"/>
  <c r="O76" i="3" s="1"/>
  <c r="H81" i="3"/>
  <c r="H82" i="3" s="1"/>
  <c r="H83" i="3" s="1"/>
  <c r="F19" i="3"/>
  <c r="H4" i="1"/>
  <c r="G4" i="1"/>
  <c r="F4" i="1"/>
  <c r="E4" i="1"/>
  <c r="D4" i="1"/>
  <c r="C4" i="1"/>
  <c r="B4" i="1"/>
  <c r="G1" i="1"/>
  <c r="H1" i="1"/>
  <c r="D1" i="1"/>
  <c r="E1" i="1"/>
  <c r="F1" i="1" s="1"/>
  <c r="C1" i="1"/>
</calcChain>
</file>

<file path=xl/sharedStrings.xml><?xml version="1.0" encoding="utf-8"?>
<sst xmlns="http://schemas.openxmlformats.org/spreadsheetml/2006/main" count="123" uniqueCount="81">
  <si>
    <t>Region</t>
  </si>
  <si>
    <t>UK</t>
  </si>
  <si>
    <t>EU</t>
  </si>
  <si>
    <t>Italy</t>
  </si>
  <si>
    <t>R = 0.314 KJ/(Kmol K)</t>
  </si>
  <si>
    <t>1 kWh = 3.6 MJ</t>
  </si>
  <si>
    <r>
      <t>1</t>
    </r>
    <r>
      <rPr>
        <b/>
        <vertAlign val="superscript"/>
        <sz val="11"/>
        <color theme="1"/>
        <rFont val="Symbol"/>
        <family val="1"/>
        <charset val="2"/>
      </rPr>
      <t>o</t>
    </r>
    <r>
      <rPr>
        <b/>
        <sz val="11"/>
        <color theme="1"/>
        <rFont val="Calibri"/>
        <family val="2"/>
        <scheme val="minor"/>
      </rPr>
      <t>C = 273.15 K</t>
    </r>
  </si>
  <si>
    <t>Conversão seca e húmida</t>
  </si>
  <si>
    <t>Diagrama de Seyler com nome e nº</t>
  </si>
  <si>
    <t>Calor vaporização água</t>
  </si>
  <si>
    <t xml:space="preserve">44010 KJ/Kmol ou </t>
  </si>
  <si>
    <t>KJ/kg</t>
  </si>
  <si>
    <t>Parte I</t>
  </si>
  <si>
    <t>Parte II</t>
  </si>
  <si>
    <t>a)</t>
  </si>
  <si>
    <t>H2 daf?</t>
  </si>
  <si>
    <t>C daf?</t>
  </si>
  <si>
    <t>daf=dry ash free</t>
  </si>
  <si>
    <t>Coal</t>
  </si>
  <si>
    <t>Wood pellet</t>
  </si>
  <si>
    <t>C</t>
  </si>
  <si>
    <t>H</t>
  </si>
  <si>
    <t>N</t>
  </si>
  <si>
    <t>S</t>
  </si>
  <si>
    <t>Moisture</t>
  </si>
  <si>
    <t>Ash</t>
  </si>
  <si>
    <t>VM</t>
  </si>
  <si>
    <t>FC</t>
  </si>
  <si>
    <t>O</t>
  </si>
  <si>
    <t>Pellets</t>
  </si>
  <si>
    <t>proximate analysis</t>
  </si>
  <si>
    <t>ultimate analysis</t>
  </si>
  <si>
    <t>Moisture (wt%)</t>
  </si>
  <si>
    <t>VM (wt%)</t>
  </si>
  <si>
    <t>FC (wt%)</t>
  </si>
  <si>
    <t>Ash (wt%)</t>
  </si>
  <si>
    <t>C (wt%)</t>
  </si>
  <si>
    <t>H (wt%)</t>
  </si>
  <si>
    <t>N (wt%)</t>
  </si>
  <si>
    <t>O (wt%)</t>
  </si>
  <si>
    <t>S (wt%)</t>
  </si>
  <si>
    <t>CV (MJ/kg)</t>
  </si>
  <si>
    <t>H2 daf</t>
  </si>
  <si>
    <t>C daf</t>
  </si>
  <si>
    <t>b)</t>
  </si>
  <si>
    <t>LHV=HHV-Water heat vaporization=CV-mH2O*heat/mfuel</t>
  </si>
  <si>
    <t>100kg</t>
  </si>
  <si>
    <t>kg h2</t>
  </si>
  <si>
    <t>combustion products h2 mass balance</t>
  </si>
  <si>
    <t>H2O</t>
  </si>
  <si>
    <t>mass H2O/mass h2</t>
  </si>
  <si>
    <t xml:space="preserve">kg H2O </t>
  </si>
  <si>
    <t>LHV MJ/kg</t>
  </si>
  <si>
    <t>c)</t>
  </si>
  <si>
    <t>d)</t>
  </si>
  <si>
    <t>o carvão tem maior tadiabatica de chama logo tenderá a formar mais Nox via térmica.  Por outro lado as pellets deverão formar mais Nox de origem no combustível. Geralmente o mecanismo térmico prevalece.</t>
  </si>
  <si>
    <t>e)</t>
  </si>
  <si>
    <t>Equações estequiométricas</t>
  </si>
  <si>
    <t>O2</t>
  </si>
  <si>
    <t>O2 0%</t>
  </si>
  <si>
    <t>100 kg</t>
  </si>
  <si>
    <t>®</t>
  </si>
  <si>
    <t>(O2+3.76N2)</t>
  </si>
  <si>
    <t>CO2</t>
  </si>
  <si>
    <t>SO2</t>
  </si>
  <si>
    <t>N2</t>
  </si>
  <si>
    <t>mg/Nm3</t>
  </si>
  <si>
    <t>nO2=0%</t>
  </si>
  <si>
    <t>kmol</t>
  </si>
  <si>
    <t>nO2=6%</t>
  </si>
  <si>
    <t>dry</t>
  </si>
  <si>
    <t xml:space="preserve">kg </t>
  </si>
  <si>
    <t>PV=nRT</t>
  </si>
  <si>
    <t>kg/kmol</t>
  </si>
  <si>
    <t>kmol/m3</t>
  </si>
  <si>
    <t>kg/Nm3</t>
  </si>
  <si>
    <t xml:space="preserve">Não está conforme. Precipitador eletroestático (eletroestatic precipitator), lavagem (scrubber) , </t>
  </si>
  <si>
    <t>pellets</t>
  </si>
  <si>
    <t>g/MJ</t>
  </si>
  <si>
    <t>mass co2/mass c</t>
  </si>
  <si>
    <t>massSO2/mass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</si>
</sst>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Symbol"/>
      <family val="1"/>
      <charset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indent="5"/>
    </xf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Enunciado!$A$3</c:f>
              <c:strCache>
                <c:ptCount val="1"/>
                <c:pt idx="0">
                  <c:v>Italy</c:v>
                </c:pt>
              </c:strCache>
            </c:strRef>
          </c:tx>
          <c:cat>
            <c:numRef>
              <c:f>Enunciado!$B$1:$H$1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Enunciado!$B$3:$H$3</c:f>
              <c:numCache>
                <c:formatCode>General</c:formatCode>
                <c:ptCount val="7"/>
                <c:pt idx="0">
                  <c:v>1950</c:v>
                </c:pt>
                <c:pt idx="1">
                  <c:v>2200</c:v>
                </c:pt>
                <c:pt idx="2">
                  <c:v>2500</c:v>
                </c:pt>
                <c:pt idx="3">
                  <c:v>3400</c:v>
                </c:pt>
                <c:pt idx="4">
                  <c:v>3300</c:v>
                </c:pt>
                <c:pt idx="5">
                  <c:v>3400</c:v>
                </c:pt>
                <c:pt idx="6">
                  <c:v>3400</c:v>
                </c:pt>
              </c:numCache>
            </c:numRef>
          </c:val>
        </c:ser>
        <c:ser>
          <c:idx val="1"/>
          <c:order val="1"/>
          <c:tx>
            <c:strRef>
              <c:f>Enunciado!$A$2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Enunciado!$B$1:$H$1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Enunciado!$B$2:$H$2</c:f>
              <c:numCache>
                <c:formatCode>General</c:formatCode>
                <c:ptCount val="7"/>
                <c:pt idx="0">
                  <c:v>1000</c:v>
                </c:pt>
                <c:pt idx="1">
                  <c:v>1400</c:v>
                </c:pt>
                <c:pt idx="2">
                  <c:v>3700</c:v>
                </c:pt>
                <c:pt idx="3">
                  <c:v>4900</c:v>
                </c:pt>
                <c:pt idx="4">
                  <c:v>6700</c:v>
                </c:pt>
                <c:pt idx="5">
                  <c:v>7300</c:v>
                </c:pt>
                <c:pt idx="6">
                  <c:v>7800</c:v>
                </c:pt>
              </c:numCache>
            </c:numRef>
          </c:val>
        </c:ser>
        <c:ser>
          <c:idx val="0"/>
          <c:order val="2"/>
          <c:tx>
            <c:strRef>
              <c:f>Enunciado!$A$4</c:f>
              <c:strCache>
                <c:ptCount val="1"/>
                <c:pt idx="0">
                  <c:v>EU</c:v>
                </c:pt>
              </c:strCache>
            </c:strRef>
          </c:tx>
          <c:cat>
            <c:numRef>
              <c:f>Enunciado!$B$1:$H$1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Enunciado!$B$4:$H$4</c:f>
              <c:numCache>
                <c:formatCode>General</c:formatCode>
                <c:ptCount val="7"/>
                <c:pt idx="0">
                  <c:v>9550</c:v>
                </c:pt>
                <c:pt idx="1">
                  <c:v>11400</c:v>
                </c:pt>
                <c:pt idx="2">
                  <c:v>12100</c:v>
                </c:pt>
                <c:pt idx="3">
                  <c:v>10800</c:v>
                </c:pt>
                <c:pt idx="4">
                  <c:v>10800</c:v>
                </c:pt>
                <c:pt idx="5">
                  <c:v>11500</c:v>
                </c:pt>
                <c:pt idx="6">
                  <c:v>12300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2208"/>
        <c:axId val="65104896"/>
      </c:areaChart>
      <c:catAx>
        <c:axId val="65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104896"/>
        <c:crosses val="autoZero"/>
        <c:auto val="1"/>
        <c:lblAlgn val="ctr"/>
        <c:lblOffset val="100"/>
        <c:noMultiLvlLbl val="0"/>
      </c:catAx>
      <c:valAx>
        <c:axId val="6510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/>
                  <a:t>1000 MTon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10220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403860</xdr:colOff>
      <xdr:row>4</xdr:row>
      <xdr:rowOff>68580</xdr:rowOff>
    </xdr:from>
    <xdr:to>
      <xdr:col>12</xdr:col>
      <xdr:colOff>99060</xdr:colOff>
      <xdr:row>19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O10" sqref="O10"/>
    </sheetView>
  </sheetViews>
  <sheetFormatPr defaultRowHeight="14.4" x14ac:dyDescent="0.3"/>
  <sheetData>
    <row r="1" spans="1:8" x14ac:dyDescent="0.3">
      <c r="A1" t="s">
        <v>0</v>
      </c>
      <c r="B1">
        <v>2011</v>
      </c>
      <c r="C1">
        <f>B1+1</f>
        <v>2012</v>
      </c>
      <c r="D1">
        <f t="shared" ref="D1:H1" si="0">C1+1</f>
        <v>2013</v>
      </c>
      <c r="E1">
        <f t="shared" si="0"/>
        <v>2014</v>
      </c>
      <c r="F1">
        <f t="shared" si="0"/>
        <v>2015</v>
      </c>
      <c r="G1">
        <f>F1+1</f>
        <v>2016</v>
      </c>
      <c r="H1">
        <f t="shared" si="0"/>
        <v>2017</v>
      </c>
    </row>
    <row r="2" spans="1:8" x14ac:dyDescent="0.3">
      <c r="A2" t="s">
        <v>1</v>
      </c>
      <c r="B2">
        <v>1000</v>
      </c>
      <c r="C2">
        <v>1400</v>
      </c>
      <c r="D2">
        <v>3700</v>
      </c>
      <c r="E2">
        <v>4900</v>
      </c>
      <c r="F2">
        <v>6700</v>
      </c>
      <c r="G2">
        <v>7300</v>
      </c>
      <c r="H2">
        <v>7800</v>
      </c>
    </row>
    <row r="3" spans="1:8" x14ac:dyDescent="0.3">
      <c r="A3" t="s">
        <v>3</v>
      </c>
      <c r="B3">
        <v>1950</v>
      </c>
      <c r="C3">
        <v>2200</v>
      </c>
      <c r="D3">
        <v>2500</v>
      </c>
      <c r="E3">
        <v>3400</v>
      </c>
      <c r="F3">
        <v>3300</v>
      </c>
      <c r="G3">
        <v>3400</v>
      </c>
      <c r="H3">
        <v>3400</v>
      </c>
    </row>
    <row r="4" spans="1:8" x14ac:dyDescent="0.3">
      <c r="A4" t="s">
        <v>2</v>
      </c>
      <c r="B4">
        <f>12500-(B3+B2)</f>
        <v>9550</v>
      </c>
      <c r="C4">
        <f>15000-(C3+C2)</f>
        <v>11400</v>
      </c>
      <c r="D4">
        <f>18300-(D3+D2)</f>
        <v>12100</v>
      </c>
      <c r="E4">
        <f>19100-(E3+E2)</f>
        <v>10800</v>
      </c>
      <c r="F4">
        <f>20800-(F3+F2)</f>
        <v>10800</v>
      </c>
      <c r="G4">
        <f>22200-(G3+G2)</f>
        <v>11500</v>
      </c>
      <c r="H4">
        <f>23500-(H3+H2)</f>
        <v>12300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J18" sqref="J18"/>
    </sheetView>
  </sheetViews>
  <sheetFormatPr defaultRowHeight="14.4" x14ac:dyDescent="0.3"/>
  <cols>
    <col min="3" max="3" width="9.6640625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ht="15.6" x14ac:dyDescent="0.3">
      <c r="A3" s="1" t="s">
        <v>6</v>
      </c>
    </row>
    <row r="4" spans="1:1" x14ac:dyDescent="0.3">
      <c r="A4" s="1"/>
    </row>
    <row r="5" spans="1:1" x14ac:dyDescent="0.3">
      <c r="A5" s="1" t="s">
        <v>7</v>
      </c>
    </row>
    <row r="6" spans="1:1" x14ac:dyDescent="0.3">
      <c r="A6" s="1"/>
    </row>
    <row r="7" spans="1: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  <row r="13" spans="1:1" x14ac:dyDescent="0.3">
      <c r="A13" s="1" t="s">
        <v>8</v>
      </c>
    </row>
    <row r="14" spans="1:1" x14ac:dyDescent="0.3">
      <c r="A14" s="1"/>
    </row>
    <row r="15" spans="1:1" x14ac:dyDescent="0.3">
      <c r="A15" s="1"/>
    </row>
    <row r="16" spans="1:1" x14ac:dyDescent="0.3">
      <c r="A16" s="1" t="s">
        <v>9</v>
      </c>
    </row>
    <row r="17" spans="1:5" x14ac:dyDescent="0.3">
      <c r="A17" s="1" t="s">
        <v>10</v>
      </c>
      <c r="D17" s="2">
        <f>44010/18</f>
        <v>2445</v>
      </c>
      <c r="E17" s="2" t="s">
        <v>11</v>
      </c>
    </row>
    <row r="18" spans="1:5" x14ac:dyDescent="0.3">
      <c r="A18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D17" sqref="D17"/>
    </sheetView>
  </sheetViews>
  <sheetFormatPr defaultRowHeight="14.4" x14ac:dyDescent="0.3"/>
  <sheetData>
    <row r="1" spans="1:2" x14ac:dyDescent="0.3">
      <c r="A1">
        <v>1</v>
      </c>
      <c r="B1" t="b">
        <v>0</v>
      </c>
    </row>
    <row r="2" spans="1:2" x14ac:dyDescent="0.3">
      <c r="A2">
        <f>A1+1</f>
        <v>2</v>
      </c>
      <c r="B2" t="b">
        <v>0</v>
      </c>
    </row>
    <row r="3" spans="1:2" x14ac:dyDescent="0.3">
      <c r="A3">
        <f t="shared" ref="A3:A12" si="0">A2+1</f>
        <v>3</v>
      </c>
      <c r="B3" t="b">
        <v>0</v>
      </c>
    </row>
    <row r="4" spans="1:2" x14ac:dyDescent="0.3">
      <c r="A4">
        <f t="shared" si="0"/>
        <v>4</v>
      </c>
      <c r="B4" t="b">
        <v>1</v>
      </c>
    </row>
    <row r="5" spans="1:2" x14ac:dyDescent="0.3">
      <c r="A5">
        <f t="shared" si="0"/>
        <v>5</v>
      </c>
      <c r="B5" t="b">
        <v>1</v>
      </c>
    </row>
    <row r="6" spans="1:2" x14ac:dyDescent="0.3">
      <c r="A6">
        <f t="shared" si="0"/>
        <v>6</v>
      </c>
      <c r="B6" t="b">
        <v>0</v>
      </c>
    </row>
    <row r="7" spans="1:2" x14ac:dyDescent="0.3">
      <c r="A7">
        <f t="shared" si="0"/>
        <v>7</v>
      </c>
      <c r="B7" t="b">
        <v>1</v>
      </c>
    </row>
    <row r="8" spans="1:2" x14ac:dyDescent="0.3">
      <c r="A8">
        <f t="shared" si="0"/>
        <v>8</v>
      </c>
      <c r="B8" t="b">
        <v>0</v>
      </c>
    </row>
    <row r="9" spans="1:2" x14ac:dyDescent="0.3">
      <c r="A9">
        <f t="shared" si="0"/>
        <v>9</v>
      </c>
      <c r="B9" t="b">
        <v>0</v>
      </c>
    </row>
    <row r="10" spans="1:2" x14ac:dyDescent="0.3">
      <c r="A10">
        <f t="shared" si="0"/>
        <v>10</v>
      </c>
      <c r="B10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opLeftCell="C1" workbookViewId="0">
      <selection activeCell="G43" sqref="G43"/>
    </sheetView>
  </sheetViews>
  <sheetFormatPr defaultRowHeight="14.4" x14ac:dyDescent="0.3"/>
  <cols>
    <col min="3" max="4" width="9.109375" style="3"/>
    <col min="9" max="9" width="17.88671875" bestFit="1" customWidth="1"/>
    <col min="14" max="14" width="11.33203125" customWidth="1"/>
  </cols>
  <sheetData>
    <row r="1" spans="1:20" ht="15" x14ac:dyDescent="0.25">
      <c r="A1" t="s">
        <v>12</v>
      </c>
      <c r="E1" t="s">
        <v>13</v>
      </c>
      <c r="H1" t="s">
        <v>17</v>
      </c>
    </row>
    <row r="2" spans="1:20" ht="15" x14ac:dyDescent="0.25">
      <c r="E2" t="s">
        <v>14</v>
      </c>
      <c r="F2" t="s">
        <v>15</v>
      </c>
      <c r="I2" s="2" t="s">
        <v>30</v>
      </c>
      <c r="N2" s="2" t="s">
        <v>31</v>
      </c>
    </row>
    <row r="3" spans="1:20" ht="15" x14ac:dyDescent="0.25">
      <c r="A3">
        <v>1</v>
      </c>
      <c r="B3" t="b">
        <v>0</v>
      </c>
      <c r="F3" t="s">
        <v>16</v>
      </c>
      <c r="I3" t="s">
        <v>32</v>
      </c>
      <c r="J3" t="s">
        <v>33</v>
      </c>
      <c r="K3" t="s">
        <v>34</v>
      </c>
      <c r="L3" t="s">
        <v>35</v>
      </c>
      <c r="N3" t="s">
        <v>36</v>
      </c>
      <c r="O3" t="s">
        <v>37</v>
      </c>
      <c r="P3" t="s">
        <v>38</v>
      </c>
      <c r="Q3" t="s">
        <v>39</v>
      </c>
      <c r="R3" t="s">
        <v>40</v>
      </c>
      <c r="T3" s="2" t="s">
        <v>41</v>
      </c>
    </row>
    <row r="4" spans="1:20" ht="15" x14ac:dyDescent="0.25">
      <c r="A4">
        <f>A3+1</f>
        <v>2</v>
      </c>
      <c r="B4" t="b">
        <v>0</v>
      </c>
      <c r="H4" t="s">
        <v>18</v>
      </c>
      <c r="I4">
        <v>1.2330000000000001</v>
      </c>
      <c r="J4">
        <v>33.549999999999997</v>
      </c>
      <c r="K4">
        <v>62.62</v>
      </c>
      <c r="L4">
        <v>2.593</v>
      </c>
      <c r="N4">
        <v>76.33</v>
      </c>
      <c r="O4">
        <v>4.8010000000000002</v>
      </c>
      <c r="P4">
        <v>1.446</v>
      </c>
      <c r="Q4">
        <v>15.598000000000001</v>
      </c>
      <c r="R4">
        <v>1.825</v>
      </c>
      <c r="T4">
        <v>30</v>
      </c>
    </row>
    <row r="5" spans="1:20" ht="15" x14ac:dyDescent="0.25">
      <c r="A5">
        <f t="shared" ref="A5:A11" si="0">A4+1</f>
        <v>3</v>
      </c>
      <c r="B5" t="b">
        <v>0</v>
      </c>
      <c r="H5" t="s">
        <v>29</v>
      </c>
      <c r="I5">
        <v>4.6340000000000003</v>
      </c>
      <c r="J5">
        <v>74.3</v>
      </c>
      <c r="K5">
        <v>20.8</v>
      </c>
      <c r="L5">
        <v>0.2611</v>
      </c>
      <c r="N5">
        <v>49.06</v>
      </c>
      <c r="O5">
        <v>6.3109999999999999</v>
      </c>
      <c r="P5">
        <v>2.0790000000000002</v>
      </c>
      <c r="Q5">
        <v>42.55</v>
      </c>
      <c r="R5">
        <v>0</v>
      </c>
      <c r="T5">
        <v>18</v>
      </c>
    </row>
    <row r="6" spans="1:20" ht="15" x14ac:dyDescent="0.25">
      <c r="A6">
        <f t="shared" si="0"/>
        <v>4</v>
      </c>
      <c r="B6" t="b">
        <v>1</v>
      </c>
    </row>
    <row r="7" spans="1:20" ht="15" x14ac:dyDescent="0.25">
      <c r="A7">
        <f t="shared" si="0"/>
        <v>5</v>
      </c>
      <c r="B7" t="b">
        <v>1</v>
      </c>
    </row>
    <row r="8" spans="1:20" ht="15" x14ac:dyDescent="0.25">
      <c r="A8">
        <f t="shared" si="0"/>
        <v>6</v>
      </c>
      <c r="B8" t="b">
        <v>0</v>
      </c>
    </row>
    <row r="9" spans="1:20" ht="15" x14ac:dyDescent="0.25">
      <c r="A9">
        <f t="shared" si="0"/>
        <v>7</v>
      </c>
      <c r="B9" t="b">
        <v>1</v>
      </c>
    </row>
    <row r="10" spans="1:20" ht="15" x14ac:dyDescent="0.25">
      <c r="A10">
        <f t="shared" si="0"/>
        <v>8</v>
      </c>
      <c r="B10" t="b">
        <v>0</v>
      </c>
    </row>
    <row r="11" spans="1:20" ht="15" x14ac:dyDescent="0.25">
      <c r="A11">
        <f t="shared" si="0"/>
        <v>9</v>
      </c>
      <c r="B11" t="b">
        <v>0</v>
      </c>
      <c r="F11" t="s">
        <v>18</v>
      </c>
      <c r="G11" t="s">
        <v>19</v>
      </c>
    </row>
    <row r="12" spans="1:20" ht="15" x14ac:dyDescent="0.25">
      <c r="A12">
        <f>A11+1</f>
        <v>10</v>
      </c>
      <c r="B12" t="b">
        <v>0</v>
      </c>
    </row>
    <row r="13" spans="1:20" ht="15" x14ac:dyDescent="0.25">
      <c r="E13" t="s">
        <v>20</v>
      </c>
      <c r="F13">
        <v>76.33</v>
      </c>
      <c r="G13">
        <v>49.06</v>
      </c>
      <c r="I13" t="s">
        <v>43</v>
      </c>
    </row>
    <row r="14" spans="1:20" ht="15" x14ac:dyDescent="0.25">
      <c r="E14" t="s">
        <v>21</v>
      </c>
      <c r="F14">
        <v>4.8010000000000002</v>
      </c>
      <c r="G14">
        <v>6.3109999999999999</v>
      </c>
      <c r="I14" t="s">
        <v>42</v>
      </c>
    </row>
    <row r="15" spans="1:20" ht="15" x14ac:dyDescent="0.25">
      <c r="E15" t="s">
        <v>22</v>
      </c>
      <c r="F15">
        <v>1.446</v>
      </c>
      <c r="G15">
        <v>2.0790000000000002</v>
      </c>
    </row>
    <row r="16" spans="1:20" ht="15" x14ac:dyDescent="0.25">
      <c r="E16" t="s">
        <v>23</v>
      </c>
      <c r="F16">
        <v>1.825</v>
      </c>
      <c r="G16">
        <v>0</v>
      </c>
    </row>
    <row r="17" spans="5:15" ht="15" x14ac:dyDescent="0.25">
      <c r="E17" t="s">
        <v>28</v>
      </c>
      <c r="F17">
        <f>100-SUM(F13:F16)</f>
        <v>15.597999999999999</v>
      </c>
      <c r="G17">
        <f>100-SUM(G13:G16)</f>
        <v>42.55</v>
      </c>
    </row>
    <row r="19" spans="5:15" ht="15" x14ac:dyDescent="0.25">
      <c r="F19">
        <f>SUM(F13:F17)</f>
        <v>100</v>
      </c>
      <c r="G19">
        <f>SUM(G13:G17)</f>
        <v>100</v>
      </c>
    </row>
    <row r="21" spans="5:15" x14ac:dyDescent="0.3">
      <c r="E21" t="s">
        <v>24</v>
      </c>
      <c r="F21">
        <v>1.2330000000000001</v>
      </c>
      <c r="G21">
        <v>4.6340000000000003</v>
      </c>
    </row>
    <row r="22" spans="5:15" x14ac:dyDescent="0.3">
      <c r="E22" t="s">
        <v>25</v>
      </c>
      <c r="F22">
        <v>2.593</v>
      </c>
      <c r="G22">
        <v>0.2611</v>
      </c>
    </row>
    <row r="23" spans="5:15" x14ac:dyDescent="0.3">
      <c r="E23" t="s">
        <v>26</v>
      </c>
      <c r="F23">
        <v>33.549999999999997</v>
      </c>
      <c r="G23">
        <v>74.3</v>
      </c>
    </row>
    <row r="24" spans="5:15" x14ac:dyDescent="0.3">
      <c r="E24" t="s">
        <v>27</v>
      </c>
      <c r="F24">
        <v>62.62</v>
      </c>
      <c r="G24">
        <v>20.8</v>
      </c>
    </row>
    <row r="26" spans="5:15" x14ac:dyDescent="0.3">
      <c r="F26">
        <f>SUM(F21:F24)</f>
        <v>99.995999999999995</v>
      </c>
      <c r="G26">
        <f>SUM(G21:G24)</f>
        <v>99.995099999999994</v>
      </c>
    </row>
    <row r="28" spans="5:15" x14ac:dyDescent="0.3">
      <c r="E28" t="s">
        <v>44</v>
      </c>
      <c r="F28" t="s">
        <v>45</v>
      </c>
    </row>
    <row r="30" spans="5:15" x14ac:dyDescent="0.3">
      <c r="E30" t="s">
        <v>46</v>
      </c>
      <c r="F30" t="s">
        <v>18</v>
      </c>
      <c r="G30" t="s">
        <v>19</v>
      </c>
      <c r="I30" t="s">
        <v>48</v>
      </c>
      <c r="L30" t="s">
        <v>50</v>
      </c>
      <c r="O30">
        <f>18/2</f>
        <v>9</v>
      </c>
    </row>
    <row r="32" spans="5:15" x14ac:dyDescent="0.3">
      <c r="E32" t="s">
        <v>47</v>
      </c>
      <c r="F32">
        <f>F14</f>
        <v>4.8010000000000002</v>
      </c>
      <c r="G32">
        <f>G14</f>
        <v>6.3109999999999999</v>
      </c>
    </row>
    <row r="34" spans="5:13" x14ac:dyDescent="0.3">
      <c r="E34" t="s">
        <v>51</v>
      </c>
      <c r="F34">
        <f>F32*O30</f>
        <v>43.209000000000003</v>
      </c>
      <c r="G34">
        <f>G32*O30</f>
        <v>56.798999999999999</v>
      </c>
    </row>
    <row r="36" spans="5:13" x14ac:dyDescent="0.3">
      <c r="E36" t="s">
        <v>52</v>
      </c>
      <c r="F36">
        <f>T4-F34/100*Formulario!D17*10^-3</f>
        <v>28.943539950000002</v>
      </c>
      <c r="G36">
        <f>T5-G34/100*Formulario!D17*10^-3</f>
        <v>16.61126445</v>
      </c>
    </row>
    <row r="37" spans="5:13" x14ac:dyDescent="0.3">
      <c r="J37" t="s">
        <v>79</v>
      </c>
      <c r="M37">
        <f>44/12</f>
        <v>3.6666666666666665</v>
      </c>
    </row>
    <row r="38" spans="5:13" x14ac:dyDescent="0.3">
      <c r="F38" t="s">
        <v>78</v>
      </c>
      <c r="G38" t="s">
        <v>18</v>
      </c>
      <c r="H38" t="s">
        <v>29</v>
      </c>
      <c r="J38" t="s">
        <v>80</v>
      </c>
      <c r="M38">
        <f>64/32</f>
        <v>2</v>
      </c>
    </row>
    <row r="39" spans="5:13" x14ac:dyDescent="0.3">
      <c r="E39" t="s">
        <v>53</v>
      </c>
      <c r="F39" t="s">
        <v>63</v>
      </c>
      <c r="G39">
        <f>F13*M37/(100*T4)*1000</f>
        <v>93.292222222222222</v>
      </c>
      <c r="H39">
        <f>G13*M37*1000/(100*T5)</f>
        <v>99.93703703703703</v>
      </c>
    </row>
    <row r="40" spans="5:13" x14ac:dyDescent="0.3">
      <c r="F40" t="s">
        <v>64</v>
      </c>
      <c r="G40">
        <f>F16*M38*1000/(100*T4)</f>
        <v>1.2166666666666666</v>
      </c>
      <c r="H40">
        <v>0</v>
      </c>
    </row>
    <row r="48" spans="5:13" x14ac:dyDescent="0.3">
      <c r="E48" t="s">
        <v>54</v>
      </c>
      <c r="F48" t="s">
        <v>55</v>
      </c>
    </row>
    <row r="51" spans="5:24" x14ac:dyDescent="0.3">
      <c r="E51" t="s">
        <v>56</v>
      </c>
      <c r="F51" t="s">
        <v>57</v>
      </c>
      <c r="I51" t="s">
        <v>58</v>
      </c>
      <c r="J51" t="s">
        <v>59</v>
      </c>
    </row>
    <row r="53" spans="5:24" x14ac:dyDescent="0.3">
      <c r="F53" s="2" t="s">
        <v>18</v>
      </c>
      <c r="G53" s="2" t="s">
        <v>60</v>
      </c>
    </row>
    <row r="55" spans="5:24" x14ac:dyDescent="0.3">
      <c r="G55" s="4" t="s">
        <v>20</v>
      </c>
      <c r="H55" s="4" t="s">
        <v>21</v>
      </c>
      <c r="I55" s="4" t="s">
        <v>28</v>
      </c>
      <c r="J55" s="4" t="s">
        <v>23</v>
      </c>
      <c r="K55" s="4"/>
      <c r="M55">
        <f>(P55*2+R55+U55*2-I56)/2</f>
        <v>7.1306770833333317</v>
      </c>
      <c r="N55" s="4" t="s">
        <v>62</v>
      </c>
      <c r="O55" s="5" t="s">
        <v>61</v>
      </c>
      <c r="P55">
        <f>G56</f>
        <v>6.3608333333333329</v>
      </c>
      <c r="Q55" t="s">
        <v>63</v>
      </c>
      <c r="R55">
        <f>H56/2</f>
        <v>2.4005000000000001</v>
      </c>
      <c r="S55" t="s">
        <v>49</v>
      </c>
      <c r="U55">
        <f>J56</f>
        <v>5.7031249999999999E-2</v>
      </c>
      <c r="V55" t="s">
        <v>64</v>
      </c>
      <c r="W55">
        <f>3.76*M55</f>
        <v>26.811345833333327</v>
      </c>
      <c r="X55" t="s">
        <v>65</v>
      </c>
    </row>
    <row r="56" spans="5:24" x14ac:dyDescent="0.3">
      <c r="G56">
        <f>F13/12</f>
        <v>6.3608333333333329</v>
      </c>
      <c r="H56">
        <f>F14/1</f>
        <v>4.8010000000000002</v>
      </c>
      <c r="I56">
        <f>F17/16</f>
        <v>0.97487499999999994</v>
      </c>
      <c r="J56">
        <f>F16/32</f>
        <v>5.7031249999999999E-2</v>
      </c>
    </row>
    <row r="57" spans="5:24" x14ac:dyDescent="0.3">
      <c r="N57" t="s">
        <v>70</v>
      </c>
    </row>
    <row r="58" spans="5:24" x14ac:dyDescent="0.3">
      <c r="N58" t="s">
        <v>67</v>
      </c>
      <c r="O58">
        <f>P55+U55+W55</f>
        <v>33.22921041666666</v>
      </c>
      <c r="P58" t="s">
        <v>68</v>
      </c>
    </row>
    <row r="59" spans="5:24" x14ac:dyDescent="0.3">
      <c r="N59" t="s">
        <v>69</v>
      </c>
      <c r="O59">
        <f>4.76*(G56+1-0.06*H56/4)/(1-4.76*0.06)-H56/4</f>
        <v>47.364664986935416</v>
      </c>
      <c r="P59" t="s">
        <v>68</v>
      </c>
    </row>
    <row r="60" spans="5:24" x14ac:dyDescent="0.3">
      <c r="G60" t="s">
        <v>25</v>
      </c>
      <c r="H60">
        <f>F22</f>
        <v>2.593</v>
      </c>
      <c r="I60" t="s">
        <v>71</v>
      </c>
      <c r="L60" t="s">
        <v>66</v>
      </c>
    </row>
    <row r="61" spans="5:24" x14ac:dyDescent="0.3">
      <c r="H61">
        <f>O59</f>
        <v>47.364664986935416</v>
      </c>
      <c r="I61" t="s">
        <v>68</v>
      </c>
    </row>
    <row r="62" spans="5:24" x14ac:dyDescent="0.3">
      <c r="L62" t="s">
        <v>72</v>
      </c>
    </row>
    <row r="63" spans="5:24" x14ac:dyDescent="0.3">
      <c r="H63">
        <f>H60/H61</f>
        <v>5.4745452136423352E-2</v>
      </c>
      <c r="I63" t="s">
        <v>73</v>
      </c>
    </row>
    <row r="64" spans="5:24" x14ac:dyDescent="0.3">
      <c r="H64">
        <f>H63*M64</f>
        <v>2.2096412187586618E-3</v>
      </c>
      <c r="I64" t="s">
        <v>75</v>
      </c>
      <c r="L64" t="s">
        <v>74</v>
      </c>
      <c r="M64">
        <f>100/(8.314*298)</f>
        <v>4.0362096439578748E-2</v>
      </c>
    </row>
    <row r="65" spans="6:24" x14ac:dyDescent="0.3">
      <c r="H65">
        <f>H64*1000000</f>
        <v>2209.641218758662</v>
      </c>
      <c r="I65" t="s">
        <v>66</v>
      </c>
    </row>
    <row r="68" spans="6:24" x14ac:dyDescent="0.3">
      <c r="H68" t="s">
        <v>76</v>
      </c>
    </row>
    <row r="71" spans="6:24" x14ac:dyDescent="0.3">
      <c r="F71" s="2" t="s">
        <v>77</v>
      </c>
      <c r="G71" s="2" t="s">
        <v>60</v>
      </c>
    </row>
    <row r="73" spans="6:24" x14ac:dyDescent="0.3">
      <c r="G73" s="4" t="s">
        <v>20</v>
      </c>
      <c r="H73" s="4" t="s">
        <v>21</v>
      </c>
      <c r="I73" s="4" t="s">
        <v>28</v>
      </c>
      <c r="J73" s="4" t="s">
        <v>23</v>
      </c>
      <c r="K73" s="4"/>
      <c r="M73">
        <f>(P73*2+R73+U73*2-I74)/2</f>
        <v>4.3363958333333343</v>
      </c>
      <c r="N73" s="4" t="s">
        <v>62</v>
      </c>
      <c r="O73" s="5" t="s">
        <v>61</v>
      </c>
      <c r="P73">
        <f>G74</f>
        <v>4.0883333333333338</v>
      </c>
      <c r="Q73" t="s">
        <v>63</v>
      </c>
      <c r="R73">
        <f>H74/2</f>
        <v>3.1555</v>
      </c>
      <c r="S73" t="s">
        <v>49</v>
      </c>
      <c r="U73">
        <f>J74</f>
        <v>0</v>
      </c>
      <c r="V73" t="s">
        <v>64</v>
      </c>
      <c r="W73">
        <f>3.76*M73</f>
        <v>16.304848333333336</v>
      </c>
      <c r="X73" t="s">
        <v>65</v>
      </c>
    </row>
    <row r="74" spans="6:24" x14ac:dyDescent="0.3">
      <c r="G74">
        <f>G13/12</f>
        <v>4.0883333333333338</v>
      </c>
      <c r="H74">
        <f>G32/1</f>
        <v>6.3109999999999999</v>
      </c>
      <c r="I74">
        <f>G17/16</f>
        <v>2.6593749999999998</v>
      </c>
      <c r="J74">
        <f>G16/32</f>
        <v>0</v>
      </c>
    </row>
    <row r="75" spans="6:24" x14ac:dyDescent="0.3">
      <c r="N75" t="s">
        <v>70</v>
      </c>
    </row>
    <row r="76" spans="6:24" x14ac:dyDescent="0.3">
      <c r="N76" t="s">
        <v>67</v>
      </c>
      <c r="O76">
        <f>P73+U73+W73</f>
        <v>20.393181666666671</v>
      </c>
      <c r="P76" t="s">
        <v>68</v>
      </c>
    </row>
    <row r="77" spans="6:24" x14ac:dyDescent="0.3">
      <c r="N77" t="s">
        <v>69</v>
      </c>
      <c r="O77">
        <f>4.76*(G74+1-0.06*H74/4)/(1-4.76*0.06)-H74/4</f>
        <v>31.694732176185141</v>
      </c>
      <c r="P77" t="s">
        <v>68</v>
      </c>
    </row>
    <row r="78" spans="6:24" x14ac:dyDescent="0.3">
      <c r="G78" t="s">
        <v>25</v>
      </c>
      <c r="H78">
        <f>G22</f>
        <v>0.2611</v>
      </c>
      <c r="I78" t="s">
        <v>71</v>
      </c>
      <c r="L78" t="s">
        <v>66</v>
      </c>
    </row>
    <row r="79" spans="6:24" x14ac:dyDescent="0.3">
      <c r="H79">
        <f>O77</f>
        <v>31.694732176185141</v>
      </c>
      <c r="I79" t="s">
        <v>68</v>
      </c>
    </row>
    <row r="80" spans="6:24" x14ac:dyDescent="0.3">
      <c r="L80" t="s">
        <v>72</v>
      </c>
    </row>
    <row r="81" spans="8:13" x14ac:dyDescent="0.3">
      <c r="H81">
        <f>H78/H79</f>
        <v>8.2379620231082407E-3</v>
      </c>
      <c r="I81" t="s">
        <v>73</v>
      </c>
    </row>
    <row r="82" spans="8:13" x14ac:dyDescent="0.3">
      <c r="H82">
        <f>H81*M82</f>
        <v>3.3250141764228205E-4</v>
      </c>
      <c r="I82" t="s">
        <v>75</v>
      </c>
      <c r="L82" t="s">
        <v>74</v>
      </c>
      <c r="M82">
        <f>100/(8.314*298)</f>
        <v>4.0362096439578748E-2</v>
      </c>
    </row>
    <row r="83" spans="8:13" x14ac:dyDescent="0.3">
      <c r="H83">
        <f>H82*1000000</f>
        <v>332.50141764228204</v>
      </c>
      <c r="I83" t="s">
        <v>66</v>
      </c>
    </row>
    <row r="86" spans="8:13" x14ac:dyDescent="0.3">
      <c r="H86" t="s">
        <v>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Enunciado</vt:lpstr>
      <vt:lpstr>Formulario</vt:lpstr>
      <vt:lpstr>Parte I</vt:lpstr>
      <vt:lpstr>Parte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2018-05-25T14:06:18Z</dcterms:created>
  <dcterms:modified xsi:type="dcterms:W3CDTF">2018-06-15T12:51:47Z</dcterms:modified>
</cp:coreProperties>
</file>