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a Silva\Desktop\Trabalho\Trabalho\ConviteOrais\aulas\FCUL\2019-2020\Tecnologias de Combustão\"/>
    </mc:Choice>
  </mc:AlternateContent>
  <xr:revisionPtr revIDLastSave="0" documentId="13_ncr:1_{61DA7830-86CE-48AF-BB83-D6E7B95A76F6}" xr6:coauthVersionLast="45" xr6:coauthVersionMax="45" xr10:uidLastSave="{00000000-0000-0000-0000-000000000000}"/>
  <bookViews>
    <workbookView xWindow="-90" yWindow="-90" windowWidth="19380" windowHeight="10380" activeTab="2" xr2:uid="{00000000-000D-0000-FFFF-FFFF00000000}"/>
  </bookViews>
  <sheets>
    <sheet name="a)" sheetId="1" r:id="rId1"/>
    <sheet name="b)" sheetId="2" r:id="rId2"/>
    <sheet name="c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2" l="1"/>
  <c r="D2" i="2"/>
  <c r="F18" i="1"/>
  <c r="L2" i="1"/>
  <c r="K29" i="3" l="1"/>
  <c r="L31" i="3" s="1"/>
  <c r="I3" i="3"/>
  <c r="E9" i="2"/>
  <c r="K9" i="2" s="1"/>
  <c r="E8" i="2"/>
  <c r="K8" i="2" s="1"/>
  <c r="F13" i="2"/>
  <c r="G16" i="2"/>
  <c r="O16" i="2" s="1"/>
  <c r="G15" i="2"/>
  <c r="O15" i="2" s="1"/>
  <c r="H9" i="2"/>
  <c r="E6" i="2"/>
  <c r="E10" i="3"/>
  <c r="I8" i="3"/>
  <c r="F5" i="3"/>
  <c r="D6" i="2" l="1"/>
  <c r="C4" i="2"/>
  <c r="J2" i="1"/>
  <c r="H2" i="1"/>
  <c r="F8" i="3" s="1"/>
  <c r="L8" i="3" s="1"/>
  <c r="F2" i="1"/>
  <c r="D2" i="1"/>
  <c r="Q2" i="1" s="1"/>
  <c r="D14" i="1"/>
  <c r="D12" i="1"/>
  <c r="H13" i="3" s="1"/>
  <c r="P13" i="3" s="1"/>
  <c r="D10" i="1"/>
  <c r="H12" i="3" s="1"/>
  <c r="P12" i="3" s="1"/>
  <c r="B20" i="1"/>
  <c r="B13" i="1"/>
  <c r="J7" i="1"/>
  <c r="H7" i="1"/>
  <c r="F7" i="1"/>
  <c r="D7" i="1"/>
  <c r="F7" i="3" s="1"/>
  <c r="L7" i="3" s="1"/>
  <c r="E5" i="3" s="1"/>
  <c r="O2" i="1" l="1"/>
  <c r="B4" i="1" s="1"/>
  <c r="F17" i="1" l="1"/>
  <c r="F19" i="1"/>
  <c r="H14" i="3" s="1"/>
  <c r="P14" i="3" s="1"/>
  <c r="H15" i="3" l="1"/>
  <c r="P15" i="3" s="1"/>
  <c r="G15" i="1"/>
  <c r="C22" i="1" s="1"/>
  <c r="F22" i="1" s="1"/>
  <c r="G10" i="3"/>
  <c r="D3" i="3" s="1"/>
  <c r="H27" i="3" s="1"/>
  <c r="N31" i="3" s="1"/>
  <c r="P31" i="3" s="1"/>
</calcChain>
</file>

<file path=xl/sharedStrings.xml><?xml version="1.0" encoding="utf-8"?>
<sst xmlns="http://schemas.openxmlformats.org/spreadsheetml/2006/main" count="185" uniqueCount="85">
  <si>
    <t>nCH4</t>
  </si>
  <si>
    <t>nH2</t>
  </si>
  <si>
    <t>nCO2</t>
  </si>
  <si>
    <t>nN2</t>
  </si>
  <si>
    <t>Produtos análise seca</t>
  </si>
  <si>
    <t>O2</t>
  </si>
  <si>
    <t>CO2</t>
  </si>
  <si>
    <t>N2</t>
  </si>
  <si>
    <t>ntotal</t>
  </si>
  <si>
    <t>x</t>
  </si>
  <si>
    <t>H2O</t>
  </si>
  <si>
    <t>a)</t>
  </si>
  <si>
    <t>b)</t>
  </si>
  <si>
    <t>1 kmol gas natural</t>
  </si>
  <si>
    <t>CH4 +</t>
  </si>
  <si>
    <t xml:space="preserve">H2 + </t>
  </si>
  <si>
    <t xml:space="preserve">CO2 + </t>
  </si>
  <si>
    <t>N2 +</t>
  </si>
  <si>
    <t>a</t>
  </si>
  <si>
    <t>(O2+3.76N2)</t>
  </si>
  <si>
    <t>®</t>
  </si>
  <si>
    <t>b</t>
  </si>
  <si>
    <t>c</t>
  </si>
  <si>
    <t>d</t>
  </si>
  <si>
    <t>e</t>
  </si>
  <si>
    <t>[O2]</t>
  </si>
  <si>
    <t>[CO2]</t>
  </si>
  <si>
    <t>[N2]</t>
  </si>
  <si>
    <t>Balanço de massa C</t>
  </si>
  <si>
    <t>=</t>
  </si>
  <si>
    <t>Balanço de massa H</t>
  </si>
  <si>
    <t>Balanço de massa O</t>
  </si>
  <si>
    <t>+</t>
  </si>
  <si>
    <t>a =</t>
  </si>
  <si>
    <t>b+c/2+e</t>
  </si>
  <si>
    <t>e/ntotal</t>
  </si>
  <si>
    <t>b/ntotal</t>
  </si>
  <si>
    <t>d/ntotal</t>
  </si>
  <si>
    <t>Û</t>
  </si>
  <si>
    <t>A/F mass</t>
  </si>
  <si>
    <t>HHV</t>
  </si>
  <si>
    <t>PCS</t>
  </si>
  <si>
    <t>LHV</t>
  </si>
  <si>
    <t>PCI</t>
  </si>
  <si>
    <t>(A/F)s</t>
  </si>
  <si>
    <t>Stoichiometry</t>
  </si>
  <si>
    <t>Real</t>
  </si>
  <si>
    <t>l =</t>
  </si>
  <si>
    <t>excess air</t>
  </si>
  <si>
    <t>Energy balance</t>
  </si>
  <si>
    <t>Balanço de Energia</t>
  </si>
  <si>
    <t>Entalpia dos reagentes</t>
  </si>
  <si>
    <r>
      <t>H</t>
    </r>
    <r>
      <rPr>
        <vertAlign val="subscript"/>
        <sz val="11"/>
        <color theme="1"/>
        <rFont val="Calibri"/>
        <family val="2"/>
        <scheme val="minor"/>
      </rPr>
      <t>CH4</t>
    </r>
  </si>
  <si>
    <t>kmol</t>
  </si>
  <si>
    <t>kJ/kmol</t>
  </si>
  <si>
    <t>kJ</t>
  </si>
  <si>
    <r>
      <t>H</t>
    </r>
    <r>
      <rPr>
        <vertAlign val="subscript"/>
        <sz val="11"/>
        <color theme="1"/>
        <rFont val="Calibri"/>
        <family val="2"/>
        <scheme val="minor"/>
      </rPr>
      <t>O2</t>
    </r>
  </si>
  <si>
    <r>
      <t>H</t>
    </r>
    <r>
      <rPr>
        <vertAlign val="subscript"/>
        <sz val="11"/>
        <color theme="1"/>
        <rFont val="Calibri"/>
        <family val="2"/>
        <scheme val="minor"/>
      </rPr>
      <t>N2</t>
    </r>
  </si>
  <si>
    <r>
      <t>H</t>
    </r>
    <r>
      <rPr>
        <vertAlign val="subscript"/>
        <sz val="11"/>
        <color theme="1"/>
        <rFont val="Calibri"/>
        <family val="2"/>
        <scheme val="minor"/>
      </rPr>
      <t>CO2</t>
    </r>
  </si>
  <si>
    <r>
      <t>H</t>
    </r>
    <r>
      <rPr>
        <vertAlign val="subscript"/>
        <sz val="11"/>
        <color theme="1"/>
        <rFont val="Calibri"/>
        <family val="2"/>
        <scheme val="minor"/>
      </rPr>
      <t>H2O</t>
    </r>
  </si>
  <si>
    <r>
      <t>H</t>
    </r>
    <r>
      <rPr>
        <vertAlign val="subscript"/>
        <sz val="11"/>
        <color theme="1"/>
        <rFont val="Calibri"/>
        <family val="2"/>
        <scheme val="minor"/>
      </rPr>
      <t>reagentes-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produtos</t>
    </r>
    <r>
      <rPr>
        <sz val="11"/>
        <color theme="1"/>
        <rFont val="Calibri"/>
        <family val="2"/>
        <scheme val="minor"/>
      </rPr>
      <t xml:space="preserve"> </t>
    </r>
  </si>
  <si>
    <t>K</t>
  </si>
  <si>
    <t>Entalpia dos produtos</t>
  </si>
  <si>
    <t>boiler is constant pressure</t>
  </si>
  <si>
    <r>
      <t>nCH4*h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(25ºC)=</t>
    </r>
  </si>
  <si>
    <r>
      <t>nCO2*h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(25ºC)=</t>
    </r>
  </si>
  <si>
    <r>
      <t>nO2*(h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(25ºC)+deltah(500K))</t>
    </r>
  </si>
  <si>
    <r>
      <t>nCO2*(h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(25ºC)+deltah(500K))</t>
    </r>
  </si>
  <si>
    <r>
      <t>nH2O*(h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(25ºC)+deltah(500K))</t>
    </r>
  </si>
  <si>
    <r>
      <t>nN2*(h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(25ºC)+deltah(500K))</t>
    </r>
  </si>
  <si>
    <t>Qout</t>
  </si>
  <si>
    <t>c)</t>
  </si>
  <si>
    <t>Losses</t>
  </si>
  <si>
    <t>Qout-Losses</t>
  </si>
  <si>
    <t>25ºC</t>
  </si>
  <si>
    <r>
      <t>nCO2*(h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(25ºC))</t>
    </r>
  </si>
  <si>
    <r>
      <t>nH2O*(h</t>
    </r>
    <r>
      <rPr>
        <vertAlign val="superscript"/>
        <sz val="11"/>
        <color theme="1"/>
        <rFont val="Calibri"/>
        <family val="2"/>
        <scheme val="minor"/>
      </rPr>
      <t>0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(25ºC))</t>
    </r>
  </si>
  <si>
    <t>for each  kmol natural gas</t>
  </si>
  <si>
    <t>V=nRT/P</t>
  </si>
  <si>
    <t>m3/h</t>
  </si>
  <si>
    <t>m3/kmol</t>
  </si>
  <si>
    <t>kmol/h</t>
  </si>
  <si>
    <t>kJ/h</t>
  </si>
  <si>
    <t>kW</t>
  </si>
  <si>
    <t>MJ/kg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</si>
</sst>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282575</xdr:colOff>
      <xdr:row>13</xdr:row>
      <xdr:rowOff>114299</xdr:rowOff>
    </xdr:from>
    <xdr:to>
      <xdr:col>11</xdr:col>
      <xdr:colOff>558800</xdr:colOff>
      <xdr:row>18</xdr:row>
      <xdr:rowOff>133349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8C503145-D725-4FEE-8CE4-89897F199782}"/>
            </a:ext>
          </a:extLst>
        </xdr:cNvPr>
        <xdr:cNvSpPr/>
      </xdr:nvSpPr>
      <xdr:spPr>
        <a:xfrm>
          <a:off x="7597775" y="2463799"/>
          <a:ext cx="276225" cy="11080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8</xdr:col>
      <xdr:colOff>530225</xdr:colOff>
      <xdr:row>13</xdr:row>
      <xdr:rowOff>165099</xdr:rowOff>
    </xdr:from>
    <xdr:to>
      <xdr:col>9</xdr:col>
      <xdr:colOff>53975</xdr:colOff>
      <xdr:row>18</xdr:row>
      <xdr:rowOff>142875</xdr:rowOff>
    </xdr:to>
    <xdr:sp macro="" textlink="">
      <xdr:nvSpPr>
        <xdr:cNvPr id="3" name="Left Bracket 2">
          <a:extLst>
            <a:ext uri="{FF2B5EF4-FFF2-40B4-BE49-F238E27FC236}">
              <a16:creationId xmlns:a16="http://schemas.microsoft.com/office/drawing/2014/main" id="{9F7B21E8-57AF-46B8-B66A-55297FA57502}"/>
            </a:ext>
          </a:extLst>
        </xdr:cNvPr>
        <xdr:cNvSpPr/>
      </xdr:nvSpPr>
      <xdr:spPr>
        <a:xfrm>
          <a:off x="6016625" y="2514599"/>
          <a:ext cx="133350" cy="106680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282575</xdr:colOff>
      <xdr:row>10</xdr:row>
      <xdr:rowOff>114299</xdr:rowOff>
    </xdr:from>
    <xdr:to>
      <xdr:col>12</xdr:col>
      <xdr:colOff>558800</xdr:colOff>
      <xdr:row>15</xdr:row>
      <xdr:rowOff>133349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F46D3C3C-094F-4C23-9837-499384C4545F}"/>
            </a:ext>
          </a:extLst>
        </xdr:cNvPr>
        <xdr:cNvSpPr/>
      </xdr:nvSpPr>
      <xdr:spPr>
        <a:xfrm>
          <a:off x="7597775" y="7232649"/>
          <a:ext cx="276225" cy="9556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9</xdr:col>
      <xdr:colOff>530225</xdr:colOff>
      <xdr:row>10</xdr:row>
      <xdr:rowOff>165099</xdr:rowOff>
    </xdr:from>
    <xdr:to>
      <xdr:col>10</xdr:col>
      <xdr:colOff>53975</xdr:colOff>
      <xdr:row>15</xdr:row>
      <xdr:rowOff>142875</xdr:rowOff>
    </xdr:to>
    <xdr:sp macro="" textlink="">
      <xdr:nvSpPr>
        <xdr:cNvPr id="3" name="Left Bracket 2">
          <a:extLst>
            <a:ext uri="{FF2B5EF4-FFF2-40B4-BE49-F238E27FC236}">
              <a16:creationId xmlns:a16="http://schemas.microsoft.com/office/drawing/2014/main" id="{B91C59D3-D9C8-4099-A8FF-0601AB03D82F}"/>
            </a:ext>
          </a:extLst>
        </xdr:cNvPr>
        <xdr:cNvSpPr/>
      </xdr:nvSpPr>
      <xdr:spPr>
        <a:xfrm>
          <a:off x="6016625" y="7283449"/>
          <a:ext cx="133350" cy="91440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oneCellAnchor>
    <xdr:from>
      <xdr:col>0</xdr:col>
      <xdr:colOff>581577</xdr:colOff>
      <xdr:row>16</xdr:row>
      <xdr:rowOff>155575</xdr:rowOff>
    </xdr:from>
    <xdr:ext cx="2121850" cy="2075806"/>
    <xdr:pic>
      <xdr:nvPicPr>
        <xdr:cNvPr id="4" name="Picture 3">
          <a:extLst>
            <a:ext uri="{FF2B5EF4-FFF2-40B4-BE49-F238E27FC236}">
              <a16:creationId xmlns:a16="http://schemas.microsoft.com/office/drawing/2014/main" id="{B1C7D10D-E708-4296-BE5B-3F48013A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577" y="8397875"/>
          <a:ext cx="2121850" cy="2075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27</xdr:row>
      <xdr:rowOff>47625</xdr:rowOff>
    </xdr:from>
    <xdr:to>
      <xdr:col>8</xdr:col>
      <xdr:colOff>0</xdr:colOff>
      <xdr:row>53</xdr:row>
      <xdr:rowOff>53975</xdr:rowOff>
    </xdr:to>
    <xdr:pic>
      <xdr:nvPicPr>
        <xdr:cNvPr id="6" name="Picture 5" descr="Boiler, central, gas, heating, water icon">
          <a:extLst>
            <a:ext uri="{FF2B5EF4-FFF2-40B4-BE49-F238E27FC236}">
              <a16:creationId xmlns:a16="http://schemas.microsoft.com/office/drawing/2014/main" id="{45B34D47-B50E-42F0-87E3-6BB41434E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"/>
          <a:ext cx="4876800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111125</xdr:colOff>
      <xdr:row>25</xdr:row>
      <xdr:rowOff>50800</xdr:rowOff>
    </xdr:from>
    <xdr:to>
      <xdr:col>5</xdr:col>
      <xdr:colOff>219075</xdr:colOff>
      <xdr:row>28</xdr:row>
      <xdr:rowOff>168275</xdr:rowOff>
    </xdr:to>
    <xdr:cxnSp macro="">
      <xdr:nvCxnSpPr>
        <xdr:cNvPr id="8" name="Connector: Curved 7">
          <a:extLst>
            <a:ext uri="{FF2B5EF4-FFF2-40B4-BE49-F238E27FC236}">
              <a16:creationId xmlns:a16="http://schemas.microsoft.com/office/drawing/2014/main" id="{736AA611-7CDE-4959-B076-47510B991AAB}"/>
            </a:ext>
          </a:extLst>
        </xdr:cNvPr>
        <xdr:cNvCxnSpPr/>
      </xdr:nvCxnSpPr>
      <xdr:spPr>
        <a:xfrm rot="10800000">
          <a:off x="2549525" y="5362575"/>
          <a:ext cx="717550" cy="679450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workbookViewId="0">
      <selection activeCell="F19" sqref="F19"/>
    </sheetView>
  </sheetViews>
  <sheetFormatPr defaultRowHeight="14.75" x14ac:dyDescent="0.75"/>
  <cols>
    <col min="4" max="4" width="8.7265625" customWidth="1"/>
    <col min="13" max="13" width="12.1796875" customWidth="1"/>
  </cols>
  <sheetData>
    <row r="1" spans="1:22" x14ac:dyDescent="0.75">
      <c r="A1" s="2" t="s">
        <v>45</v>
      </c>
    </row>
    <row r="2" spans="1:22" x14ac:dyDescent="0.75">
      <c r="A2" t="s">
        <v>13</v>
      </c>
      <c r="D2">
        <f>B9</f>
        <v>0.88</v>
      </c>
      <c r="E2" t="s">
        <v>14</v>
      </c>
      <c r="F2">
        <f>B10</f>
        <v>0.02</v>
      </c>
      <c r="G2" t="s">
        <v>15</v>
      </c>
      <c r="H2">
        <f>B11</f>
        <v>0.03</v>
      </c>
      <c r="I2" t="s">
        <v>16</v>
      </c>
      <c r="J2">
        <f>B12</f>
        <v>7.0000000000000007E-2</v>
      </c>
      <c r="K2" t="s">
        <v>17</v>
      </c>
      <c r="L2">
        <f>(O2+Q2/2-H2)</f>
        <v>1.77</v>
      </c>
      <c r="M2" t="s">
        <v>19</v>
      </c>
      <c r="N2" s="1" t="s">
        <v>20</v>
      </c>
      <c r="O2">
        <f>H2+D2</f>
        <v>0.91</v>
      </c>
      <c r="P2" t="s">
        <v>6</v>
      </c>
      <c r="Q2">
        <f>D2*2+F2</f>
        <v>1.78</v>
      </c>
      <c r="R2" t="s">
        <v>10</v>
      </c>
      <c r="T2" t="s">
        <v>7</v>
      </c>
    </row>
    <row r="4" spans="1:22" x14ac:dyDescent="0.75">
      <c r="A4" t="s">
        <v>44</v>
      </c>
      <c r="B4">
        <f>L2*(2*12+3.76*2*14)/(D2*(12+4)+F2*2+H2*44+J2*28)</f>
        <v>13.15089655172414</v>
      </c>
    </row>
    <row r="6" spans="1:22" x14ac:dyDescent="0.75">
      <c r="A6" s="2" t="s">
        <v>46</v>
      </c>
    </row>
    <row r="7" spans="1:22" x14ac:dyDescent="0.75">
      <c r="A7" t="s">
        <v>13</v>
      </c>
      <c r="D7">
        <f>B9</f>
        <v>0.88</v>
      </c>
      <c r="E7" t="s">
        <v>14</v>
      </c>
      <c r="F7">
        <f>B10</f>
        <v>0.02</v>
      </c>
      <c r="G7" t="s">
        <v>15</v>
      </c>
      <c r="H7">
        <f>B11</f>
        <v>0.03</v>
      </c>
      <c r="I7" t="s">
        <v>16</v>
      </c>
      <c r="J7">
        <f>B12</f>
        <v>7.0000000000000007E-2</v>
      </c>
      <c r="K7" t="s">
        <v>17</v>
      </c>
      <c r="L7" t="s">
        <v>18</v>
      </c>
      <c r="M7" t="s">
        <v>19</v>
      </c>
      <c r="N7" s="1" t="s">
        <v>20</v>
      </c>
      <c r="O7" t="s">
        <v>21</v>
      </c>
      <c r="P7" t="s">
        <v>6</v>
      </c>
      <c r="Q7" t="s">
        <v>22</v>
      </c>
      <c r="R7" t="s">
        <v>10</v>
      </c>
      <c r="S7" t="s">
        <v>23</v>
      </c>
      <c r="T7" t="s">
        <v>7</v>
      </c>
      <c r="U7" t="s">
        <v>24</v>
      </c>
      <c r="V7" t="s">
        <v>5</v>
      </c>
    </row>
    <row r="9" spans="1:22" x14ac:dyDescent="0.75">
      <c r="A9" t="s">
        <v>0</v>
      </c>
      <c r="B9">
        <v>0.88</v>
      </c>
      <c r="D9" s="2" t="s">
        <v>28</v>
      </c>
    </row>
    <row r="10" spans="1:22" x14ac:dyDescent="0.75">
      <c r="A10" t="s">
        <v>1</v>
      </c>
      <c r="B10">
        <v>0.02</v>
      </c>
      <c r="D10">
        <f>D7+H7</f>
        <v>0.91</v>
      </c>
      <c r="E10" s="3" t="s">
        <v>29</v>
      </c>
      <c r="F10" t="s">
        <v>21</v>
      </c>
    </row>
    <row r="11" spans="1:22" x14ac:dyDescent="0.75">
      <c r="A11" t="s">
        <v>2</v>
      </c>
      <c r="B11">
        <v>0.03</v>
      </c>
      <c r="D11" s="2" t="s">
        <v>30</v>
      </c>
    </row>
    <row r="12" spans="1:22" x14ac:dyDescent="0.75">
      <c r="A12" t="s">
        <v>3</v>
      </c>
      <c r="B12">
        <v>7.0000000000000007E-2</v>
      </c>
      <c r="D12">
        <f>2*D7+F7</f>
        <v>1.78</v>
      </c>
      <c r="E12" s="3" t="s">
        <v>29</v>
      </c>
      <c r="F12" t="s">
        <v>22</v>
      </c>
    </row>
    <row r="13" spans="1:22" x14ac:dyDescent="0.75">
      <c r="B13">
        <f>SUM(B9:B12)</f>
        <v>1</v>
      </c>
      <c r="D13" s="2" t="s">
        <v>31</v>
      </c>
    </row>
    <row r="14" spans="1:22" x14ac:dyDescent="0.75">
      <c r="D14">
        <f>H7</f>
        <v>0.03</v>
      </c>
      <c r="E14" t="s">
        <v>32</v>
      </c>
      <c r="F14" t="s">
        <v>33</v>
      </c>
      <c r="G14" t="s">
        <v>34</v>
      </c>
    </row>
    <row r="15" spans="1:22" x14ac:dyDescent="0.75">
      <c r="A15" t="s">
        <v>4</v>
      </c>
      <c r="F15" t="s">
        <v>33</v>
      </c>
      <c r="G15">
        <f>D10+D12/2+F17-D14</f>
        <v>1.8626851851851851</v>
      </c>
    </row>
    <row r="17" spans="1:7" x14ac:dyDescent="0.75">
      <c r="A17" t="s">
        <v>25</v>
      </c>
      <c r="B17">
        <v>1.1000000000000001</v>
      </c>
      <c r="C17" t="s">
        <v>35</v>
      </c>
      <c r="E17" t="s">
        <v>24</v>
      </c>
      <c r="F17">
        <f>B17/100*F18</f>
        <v>9.268518518518519E-2</v>
      </c>
    </row>
    <row r="18" spans="1:7" x14ac:dyDescent="0.75">
      <c r="A18" s="2" t="s">
        <v>26</v>
      </c>
      <c r="B18" s="2">
        <v>10.8</v>
      </c>
      <c r="C18" s="2" t="s">
        <v>36</v>
      </c>
      <c r="D18" s="4" t="s">
        <v>38</v>
      </c>
      <c r="E18" s="2" t="s">
        <v>8</v>
      </c>
      <c r="F18" s="2">
        <f>D10/(B18/100)</f>
        <v>8.4259259259259256</v>
      </c>
    </row>
    <row r="19" spans="1:7" x14ac:dyDescent="0.75">
      <c r="A19" t="s">
        <v>27</v>
      </c>
      <c r="B19">
        <v>88.1</v>
      </c>
      <c r="C19" t="s">
        <v>37</v>
      </c>
      <c r="E19" t="s">
        <v>23</v>
      </c>
      <c r="F19">
        <f>B19/100*F18</f>
        <v>7.4232407407407397</v>
      </c>
    </row>
    <row r="20" spans="1:7" x14ac:dyDescent="0.75">
      <c r="B20">
        <f>SUM(B17:B19)</f>
        <v>100</v>
      </c>
    </row>
    <row r="22" spans="1:7" x14ac:dyDescent="0.75">
      <c r="A22" t="s">
        <v>11</v>
      </c>
      <c r="B22" t="s">
        <v>39</v>
      </c>
      <c r="C22">
        <f>G15*(2*16+3.76*2*14)/(D7*(12+4)+F7*2+H7*(12+2*16)+J7*2*14)</f>
        <v>14.69594380587484</v>
      </c>
      <c r="E22" s="1" t="s">
        <v>47</v>
      </c>
      <c r="F22">
        <f>C22/B4</f>
        <v>1.1174860777038154</v>
      </c>
      <c r="G22" t="s">
        <v>48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workbookViewId="0">
      <selection activeCell="D2" sqref="D2"/>
    </sheetView>
  </sheetViews>
  <sheetFormatPr defaultRowHeight="14.75" x14ac:dyDescent="0.75"/>
  <sheetData>
    <row r="1" spans="1:16" x14ac:dyDescent="0.75">
      <c r="A1" t="s">
        <v>12</v>
      </c>
      <c r="B1" t="s">
        <v>40</v>
      </c>
      <c r="C1" t="s">
        <v>41</v>
      </c>
      <c r="D1">
        <f>D2+44010 *10^-3*'a)'!Q2/('a)'!D2*16+'a)'!F2*2+'a)'!H2*44+'a)'!J2*28)</f>
        <v>45.358321839080467</v>
      </c>
      <c r="E1" t="s">
        <v>84</v>
      </c>
    </row>
    <row r="2" spans="1:16" x14ac:dyDescent="0.75">
      <c r="B2" t="s">
        <v>42</v>
      </c>
      <c r="C2" t="s">
        <v>43</v>
      </c>
      <c r="D2">
        <f>C4*10^-3/('a)'!D2*16+'a)'!F2*2+'a)'!H2*44+'a)'!J2*28)</f>
        <v>40.856149425287363</v>
      </c>
      <c r="E2" t="s">
        <v>84</v>
      </c>
    </row>
    <row r="4" spans="1:16" ht="16.75" x14ac:dyDescent="0.95">
      <c r="A4" t="s">
        <v>60</v>
      </c>
      <c r="C4">
        <f>D6-F13</f>
        <v>710897</v>
      </c>
      <c r="D4" t="s">
        <v>55</v>
      </c>
      <c r="E4" s="2" t="s">
        <v>70</v>
      </c>
      <c r="G4" s="2"/>
    </row>
    <row r="6" spans="1:16" x14ac:dyDescent="0.75">
      <c r="A6" t="s">
        <v>51</v>
      </c>
      <c r="D6">
        <f>K8+K9</f>
        <v>-77693.900000000009</v>
      </c>
      <c r="E6" t="str">
        <f>L8</f>
        <v>kJ</v>
      </c>
    </row>
    <row r="8" spans="1:16" ht="17.75" x14ac:dyDescent="0.95">
      <c r="A8" t="s">
        <v>52</v>
      </c>
      <c r="B8" t="s">
        <v>29</v>
      </c>
      <c r="C8" t="s">
        <v>64</v>
      </c>
      <c r="E8">
        <f>'a)'!D2</f>
        <v>0.88</v>
      </c>
      <c r="F8" t="s">
        <v>53</v>
      </c>
      <c r="G8" s="3" t="s">
        <v>9</v>
      </c>
      <c r="H8">
        <v>-74873</v>
      </c>
      <c r="I8" t="s">
        <v>54</v>
      </c>
      <c r="J8" s="3" t="s">
        <v>29</v>
      </c>
      <c r="K8">
        <f>H8*E8</f>
        <v>-65888.240000000005</v>
      </c>
      <c r="L8" t="s">
        <v>55</v>
      </c>
    </row>
    <row r="9" spans="1:16" ht="17.75" x14ac:dyDescent="0.95">
      <c r="A9" t="s">
        <v>58</v>
      </c>
      <c r="B9" t="s">
        <v>29</v>
      </c>
      <c r="C9" t="s">
        <v>65</v>
      </c>
      <c r="E9">
        <f>'a)'!H2</f>
        <v>0.03</v>
      </c>
      <c r="F9" t="s">
        <v>53</v>
      </c>
      <c r="G9" s="3" t="s">
        <v>9</v>
      </c>
      <c r="H9">
        <f>J15</f>
        <v>-393522</v>
      </c>
      <c r="I9" t="s">
        <v>54</v>
      </c>
      <c r="J9" s="3" t="s">
        <v>29</v>
      </c>
      <c r="K9">
        <f>H9*E9</f>
        <v>-11805.66</v>
      </c>
      <c r="L9" t="s">
        <v>55</v>
      </c>
    </row>
    <row r="10" spans="1:16" x14ac:dyDescent="0.75">
      <c r="G10" s="3"/>
      <c r="J10" s="3"/>
    </row>
    <row r="11" spans="1:16" x14ac:dyDescent="0.75">
      <c r="G11" s="3"/>
      <c r="J11" s="3"/>
    </row>
    <row r="13" spans="1:16" x14ac:dyDescent="0.75">
      <c r="A13" t="s">
        <v>62</v>
      </c>
      <c r="D13" s="2" t="s">
        <v>74</v>
      </c>
      <c r="F13">
        <f>SUM(O15:O18)</f>
        <v>-788590.9</v>
      </c>
      <c r="G13" t="s">
        <v>55</v>
      </c>
    </row>
    <row r="15" spans="1:16" ht="17.75" x14ac:dyDescent="0.95">
      <c r="A15" t="s">
        <v>58</v>
      </c>
      <c r="B15" t="s">
        <v>29</v>
      </c>
      <c r="C15" t="s">
        <v>75</v>
      </c>
      <c r="F15" s="3" t="s">
        <v>29</v>
      </c>
      <c r="G15">
        <f>'a)'!O2</f>
        <v>0.91</v>
      </c>
      <c r="H15" t="s">
        <v>53</v>
      </c>
      <c r="I15" s="3" t="s">
        <v>9</v>
      </c>
      <c r="J15">
        <v>-393522</v>
      </c>
      <c r="K15" s="3"/>
      <c r="L15" s="5"/>
      <c r="M15" t="s">
        <v>54</v>
      </c>
      <c r="N15" s="3" t="s">
        <v>29</v>
      </c>
      <c r="O15">
        <f>G15*(J15+L15)</f>
        <v>-358105.02</v>
      </c>
      <c r="P15" t="s">
        <v>55</v>
      </c>
    </row>
    <row r="16" spans="1:16" ht="17.75" x14ac:dyDescent="0.95">
      <c r="A16" t="s">
        <v>59</v>
      </c>
      <c r="B16" t="s">
        <v>29</v>
      </c>
      <c r="C16" t="s">
        <v>76</v>
      </c>
      <c r="F16" s="3" t="s">
        <v>29</v>
      </c>
      <c r="G16">
        <f>'a)'!Q2</f>
        <v>1.78</v>
      </c>
      <c r="H16" t="s">
        <v>53</v>
      </c>
      <c r="I16" s="3" t="s">
        <v>9</v>
      </c>
      <c r="J16">
        <v>-241846</v>
      </c>
      <c r="K16" s="3"/>
      <c r="L16" s="5"/>
      <c r="M16" t="s">
        <v>54</v>
      </c>
      <c r="N16" s="3" t="s">
        <v>29</v>
      </c>
      <c r="O16">
        <f>G16*(J16+L16)</f>
        <v>-430485.88</v>
      </c>
      <c r="P16" t="s">
        <v>55</v>
      </c>
    </row>
    <row r="17" spans="6:14" x14ac:dyDescent="0.75">
      <c r="F17" s="3"/>
      <c r="I17" s="3"/>
      <c r="K17" s="3"/>
      <c r="L17" s="5"/>
      <c r="N17" s="3"/>
    </row>
    <row r="18" spans="6:14" x14ac:dyDescent="0.75">
      <c r="F18" s="3"/>
      <c r="I18" s="3"/>
      <c r="K18" s="3"/>
      <c r="L18" s="5"/>
      <c r="N18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tabSelected="1" topLeftCell="A18" workbookViewId="0">
      <selection activeCell="H28" sqref="H28"/>
    </sheetView>
  </sheetViews>
  <sheetFormatPr defaultRowHeight="14.75" x14ac:dyDescent="0.75"/>
  <sheetData>
    <row r="1" spans="1:17" x14ac:dyDescent="0.75">
      <c r="A1" t="s">
        <v>71</v>
      </c>
      <c r="B1" t="s">
        <v>49</v>
      </c>
    </row>
    <row r="2" spans="1:17" x14ac:dyDescent="0.75">
      <c r="B2" s="2" t="s">
        <v>50</v>
      </c>
      <c r="D2" t="s">
        <v>63</v>
      </c>
    </row>
    <row r="3" spans="1:17" ht="16.75" x14ac:dyDescent="0.95">
      <c r="B3" t="s">
        <v>60</v>
      </c>
      <c r="D3">
        <f>E5-G10</f>
        <v>646466.74324074073</v>
      </c>
      <c r="E3" t="s">
        <v>55</v>
      </c>
      <c r="F3" s="2" t="s">
        <v>70</v>
      </c>
      <c r="H3" s="2" t="s">
        <v>72</v>
      </c>
      <c r="I3">
        <f>0.03*'b)'!C4</f>
        <v>21326.91</v>
      </c>
      <c r="J3" s="2" t="s">
        <v>55</v>
      </c>
    </row>
    <row r="5" spans="1:17" x14ac:dyDescent="0.75">
      <c r="B5" t="s">
        <v>51</v>
      </c>
      <c r="E5">
        <f>L7+L8</f>
        <v>-77693.900000000009</v>
      </c>
      <c r="F5" t="str">
        <f>M7</f>
        <v>kJ</v>
      </c>
    </row>
    <row r="7" spans="1:17" ht="17.75" x14ac:dyDescent="0.95">
      <c r="B7" t="s">
        <v>52</v>
      </c>
      <c r="C7" t="s">
        <v>29</v>
      </c>
      <c r="D7" t="s">
        <v>64</v>
      </c>
      <c r="F7">
        <f>'a)'!D7</f>
        <v>0.88</v>
      </c>
      <c r="G7" t="s">
        <v>53</v>
      </c>
      <c r="H7" s="3" t="s">
        <v>9</v>
      </c>
      <c r="I7">
        <v>-74873</v>
      </c>
      <c r="J7" t="s">
        <v>54</v>
      </c>
      <c r="K7" s="3" t="s">
        <v>29</v>
      </c>
      <c r="L7">
        <f>I7*F7</f>
        <v>-65888.240000000005</v>
      </c>
      <c r="M7" t="s">
        <v>55</v>
      </c>
    </row>
    <row r="8" spans="1:17" ht="17.75" x14ac:dyDescent="0.95">
      <c r="B8" t="s">
        <v>58</v>
      </c>
      <c r="C8" t="s">
        <v>29</v>
      </c>
      <c r="D8" t="s">
        <v>65</v>
      </c>
      <c r="F8">
        <f>'a)'!H2</f>
        <v>0.03</v>
      </c>
      <c r="G8" t="s">
        <v>53</v>
      </c>
      <c r="H8" s="3" t="s">
        <v>9</v>
      </c>
      <c r="I8">
        <f>K12</f>
        <v>-393522</v>
      </c>
      <c r="J8" t="s">
        <v>54</v>
      </c>
      <c r="K8" s="3" t="s">
        <v>29</v>
      </c>
      <c r="L8">
        <f>I8*F8</f>
        <v>-11805.66</v>
      </c>
      <c r="M8" t="s">
        <v>55</v>
      </c>
    </row>
    <row r="10" spans="1:17" x14ac:dyDescent="0.75">
      <c r="B10" t="s">
        <v>62</v>
      </c>
      <c r="E10" s="2">
        <f>227+273.15</f>
        <v>500.15</v>
      </c>
      <c r="F10" t="s">
        <v>61</v>
      </c>
      <c r="G10">
        <f>SUM(P12:P15)</f>
        <v>-724160.64324074076</v>
      </c>
      <c r="H10" t="s">
        <v>55</v>
      </c>
    </row>
    <row r="12" spans="1:17" ht="17.75" x14ac:dyDescent="0.95">
      <c r="B12" t="s">
        <v>58</v>
      </c>
      <c r="C12" t="s">
        <v>29</v>
      </c>
      <c r="D12" t="s">
        <v>67</v>
      </c>
      <c r="G12" s="3" t="s">
        <v>29</v>
      </c>
      <c r="H12">
        <f>'a)'!D10</f>
        <v>0.91</v>
      </c>
      <c r="I12" t="s">
        <v>53</v>
      </c>
      <c r="J12" s="3" t="s">
        <v>9</v>
      </c>
      <c r="K12">
        <v>-393522</v>
      </c>
      <c r="L12" s="3" t="s">
        <v>32</v>
      </c>
      <c r="M12" s="5">
        <v>8301</v>
      </c>
      <c r="N12" t="s">
        <v>54</v>
      </c>
      <c r="O12" s="3" t="s">
        <v>29</v>
      </c>
      <c r="P12">
        <f>H12*(K12+M12)</f>
        <v>-350551.11</v>
      </c>
      <c r="Q12" t="s">
        <v>55</v>
      </c>
    </row>
    <row r="13" spans="1:17" ht="17.75" x14ac:dyDescent="0.95">
      <c r="B13" t="s">
        <v>59</v>
      </c>
      <c r="C13" t="s">
        <v>29</v>
      </c>
      <c r="D13" t="s">
        <v>68</v>
      </c>
      <c r="G13" s="3" t="s">
        <v>29</v>
      </c>
      <c r="H13">
        <f>'a)'!D12</f>
        <v>1.78</v>
      </c>
      <c r="I13" t="s">
        <v>53</v>
      </c>
      <c r="J13" s="3" t="s">
        <v>9</v>
      </c>
      <c r="K13">
        <v>-241846</v>
      </c>
      <c r="L13" s="3" t="s">
        <v>32</v>
      </c>
      <c r="M13" s="5">
        <v>6947</v>
      </c>
      <c r="N13" t="s">
        <v>54</v>
      </c>
      <c r="O13" s="3" t="s">
        <v>29</v>
      </c>
      <c r="P13">
        <f>H13*(K13+M13)</f>
        <v>-418120.22000000003</v>
      </c>
      <c r="Q13" t="s">
        <v>55</v>
      </c>
    </row>
    <row r="14" spans="1:17" ht="17.75" x14ac:dyDescent="0.95">
      <c r="B14" t="s">
        <v>57</v>
      </c>
      <c r="C14" t="s">
        <v>29</v>
      </c>
      <c r="D14" t="s">
        <v>69</v>
      </c>
      <c r="G14" s="3" t="s">
        <v>29</v>
      </c>
      <c r="H14">
        <f>'a)'!F19</f>
        <v>7.4232407407407397</v>
      </c>
      <c r="I14" t="s">
        <v>53</v>
      </c>
      <c r="J14" s="3" t="s">
        <v>9</v>
      </c>
      <c r="K14">
        <v>0</v>
      </c>
      <c r="L14" s="3" t="s">
        <v>32</v>
      </c>
      <c r="M14" s="5">
        <v>5920</v>
      </c>
      <c r="N14" t="s">
        <v>54</v>
      </c>
      <c r="O14" s="3" t="s">
        <v>29</v>
      </c>
      <c r="P14">
        <f>H14*(K14+M14)</f>
        <v>43945.585185185177</v>
      </c>
      <c r="Q14" t="s">
        <v>55</v>
      </c>
    </row>
    <row r="15" spans="1:17" ht="17.75" x14ac:dyDescent="0.95">
      <c r="B15" t="s">
        <v>56</v>
      </c>
      <c r="C15" t="s">
        <v>29</v>
      </c>
      <c r="D15" t="s">
        <v>66</v>
      </c>
      <c r="G15" s="3" t="s">
        <v>29</v>
      </c>
      <c r="H15">
        <f>'a)'!F17</f>
        <v>9.268518518518519E-2</v>
      </c>
      <c r="I15" t="s">
        <v>53</v>
      </c>
      <c r="J15" s="3" t="s">
        <v>9</v>
      </c>
      <c r="K15">
        <v>0</v>
      </c>
      <c r="L15" s="3" t="s">
        <v>32</v>
      </c>
      <c r="M15" s="5">
        <v>6097</v>
      </c>
      <c r="N15" t="s">
        <v>54</v>
      </c>
      <c r="O15" s="3" t="s">
        <v>29</v>
      </c>
      <c r="P15">
        <f>H15*M15</f>
        <v>565.10157407407405</v>
      </c>
      <c r="Q15" t="s">
        <v>55</v>
      </c>
    </row>
    <row r="27" spans="6:17" x14ac:dyDescent="0.75">
      <c r="F27" s="2" t="s">
        <v>73</v>
      </c>
      <c r="H27">
        <f>D3-I3</f>
        <v>625139.8332407407</v>
      </c>
      <c r="I27" t="s">
        <v>55</v>
      </c>
      <c r="J27" t="s">
        <v>77</v>
      </c>
    </row>
    <row r="29" spans="6:17" x14ac:dyDescent="0.75">
      <c r="J29" t="s">
        <v>78</v>
      </c>
      <c r="K29">
        <f>1*8.314*298/100</f>
        <v>24.77572</v>
      </c>
      <c r="L29" t="s">
        <v>80</v>
      </c>
    </row>
    <row r="31" spans="6:17" x14ac:dyDescent="0.75">
      <c r="J31">
        <v>150</v>
      </c>
      <c r="K31" t="s">
        <v>79</v>
      </c>
      <c r="L31">
        <f>J31/K29</f>
        <v>6.0543144659368124</v>
      </c>
      <c r="M31" t="s">
        <v>81</v>
      </c>
      <c r="N31">
        <f>L31*H27</f>
        <v>3784793.1356227431</v>
      </c>
      <c r="O31" t="s">
        <v>82</v>
      </c>
      <c r="P31" s="2">
        <f>N31/3600</f>
        <v>1051.3314265618731</v>
      </c>
      <c r="Q31" s="2" t="s">
        <v>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a)</vt:lpstr>
      <vt:lpstr>b)</vt:lpstr>
      <vt:lpstr>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Silva</dc:creator>
  <cp:lastModifiedBy>Carla Silva</cp:lastModifiedBy>
  <dcterms:created xsi:type="dcterms:W3CDTF">2017-02-28T10:30:08Z</dcterms:created>
  <dcterms:modified xsi:type="dcterms:W3CDTF">2020-04-11T11:53:06Z</dcterms:modified>
</cp:coreProperties>
</file>