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la Silva\Desktop\Trabalho\Trabalho\ConviteOrais\aulas\FCUL\2019-2020\Tecnologias de Combustão\"/>
    </mc:Choice>
  </mc:AlternateContent>
  <xr:revisionPtr revIDLastSave="0" documentId="13_ncr:1_{6BDCCCBF-12AB-4732-B584-B0579A853517}" xr6:coauthVersionLast="45" xr6:coauthVersionMax="45" xr10:uidLastSave="{00000000-0000-0000-0000-000000000000}"/>
  <bookViews>
    <workbookView xWindow="-90" yWindow="-90" windowWidth="19380" windowHeight="10380" activeTab="3" xr2:uid="{00000000-000D-0000-FFFF-FFFF00000000}"/>
  </bookViews>
  <sheets>
    <sheet name="a)" sheetId="3" r:id="rId1"/>
    <sheet name="b) SNCR" sheetId="1" r:id="rId2"/>
    <sheet name="c)SCR" sheetId="2" r:id="rId3"/>
    <sheet name="comparison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5" i="2" l="1"/>
  <c r="E46" i="2" s="1"/>
  <c r="E47" i="2" s="1"/>
  <c r="D36" i="2"/>
  <c r="D33" i="2"/>
  <c r="D37" i="2" s="1"/>
  <c r="B20" i="2"/>
  <c r="C33" i="1"/>
  <c r="D25" i="1"/>
  <c r="D22" i="1"/>
  <c r="D21" i="1"/>
  <c r="B13" i="1"/>
  <c r="B10" i="1"/>
  <c r="D6" i="1"/>
  <c r="B11" i="1" s="1"/>
  <c r="B20" i="3"/>
  <c r="F16" i="3"/>
  <c r="B17" i="3"/>
  <c r="B16" i="3"/>
  <c r="E44" i="2"/>
  <c r="C44" i="2"/>
  <c r="D32" i="2"/>
  <c r="L13" i="2"/>
  <c r="H27" i="2" s="1"/>
  <c r="L12" i="2"/>
  <c r="A30" i="2"/>
  <c r="B25" i="2"/>
  <c r="B24" i="2"/>
  <c r="B22" i="2"/>
  <c r="B21" i="2"/>
  <c r="F16" i="2"/>
  <c r="F15" i="2"/>
  <c r="B23" i="2"/>
  <c r="J15" i="2"/>
  <c r="B15" i="2"/>
  <c r="B14" i="1"/>
  <c r="C34" i="1"/>
  <c r="H16" i="1"/>
  <c r="B12" i="1"/>
  <c r="D7" i="1"/>
  <c r="D3" i="1"/>
  <c r="B21" i="3"/>
  <c r="A26" i="3" s="1"/>
  <c r="F18" i="3"/>
  <c r="K1" i="3"/>
  <c r="E1" i="3"/>
  <c r="G1" i="3"/>
  <c r="I1" i="3"/>
  <c r="C1" i="3"/>
  <c r="H12" i="3"/>
  <c r="L1" i="1"/>
  <c r="S1" i="1"/>
  <c r="D26" i="1" l="1"/>
  <c r="C31" i="1" s="1"/>
  <c r="C42" i="2"/>
  <c r="L2" i="1" l="1"/>
  <c r="B4" i="1"/>
  <c r="A19" i="1"/>
</calcChain>
</file>

<file path=xl/sharedStrings.xml><?xml version="1.0" encoding="utf-8"?>
<sst xmlns="http://schemas.openxmlformats.org/spreadsheetml/2006/main" count="131" uniqueCount="72">
  <si>
    <t>CO2</t>
  </si>
  <si>
    <t>H2O</t>
  </si>
  <si>
    <t>N2</t>
  </si>
  <si>
    <t>NO</t>
  </si>
  <si>
    <t>O2</t>
  </si>
  <si>
    <t>Condições 298 K, 1 atm</t>
  </si>
  <si>
    <t>m3/kmol</t>
  </si>
  <si>
    <t>achar nº moles com 4%</t>
  </si>
  <si>
    <t>achar nº moles com 6%</t>
  </si>
  <si>
    <t>Formula quimica do carvão???</t>
  </si>
  <si>
    <t>mol de H</t>
  </si>
  <si>
    <t>x</t>
  </si>
  <si>
    <t>y</t>
  </si>
  <si>
    <t>mol de C</t>
  </si>
  <si>
    <t>FATOR CONVERSAO NO2/NO</t>
  </si>
  <si>
    <t>EQUAÇÃO</t>
  </si>
  <si>
    <r>
      <t>4NO+4NH3+O2</t>
    </r>
    <r>
      <rPr>
        <sz val="11"/>
        <color theme="1"/>
        <rFont val="Symbol"/>
        <family val="1"/>
        <charset val="2"/>
      </rPr>
      <t>®</t>
    </r>
    <r>
      <rPr>
        <sz val="11"/>
        <color theme="1"/>
        <rFont val="Calibri"/>
        <family val="2"/>
      </rPr>
      <t>4N2+6H2O</t>
    </r>
  </si>
  <si>
    <t>EQUAÇÕES</t>
  </si>
  <si>
    <r>
      <t>Urea 32.5% wt (±0.7%), density of 1.09 g/cm</t>
    </r>
    <r>
      <rPr>
        <vertAlign val="superscript"/>
        <sz val="12"/>
        <color rgb="FF000000"/>
        <rFont val="Calibri"/>
        <family val="2"/>
        <scheme val="minor"/>
      </rPr>
      <t>3</t>
    </r>
  </si>
  <si>
    <t>SNCR</t>
  </si>
  <si>
    <t>SCR</t>
  </si>
  <si>
    <t>custo</t>
  </si>
  <si>
    <t>CO2 increase</t>
  </si>
  <si>
    <t>NH3 slip</t>
  </si>
  <si>
    <t>balanço massa produtos</t>
  </si>
  <si>
    <t>custo NH3</t>
  </si>
  <si>
    <t>carvão + ar</t>
  </si>
  <si>
    <t>®</t>
  </si>
  <si>
    <t>CO2 +</t>
  </si>
  <si>
    <t xml:space="preserve">H2O + </t>
  </si>
  <si>
    <t xml:space="preserve">N2 + </t>
  </si>
  <si>
    <t>ar</t>
  </si>
  <si>
    <t xml:space="preserve">coal </t>
  </si>
  <si>
    <t>ton/h</t>
  </si>
  <si>
    <t>products</t>
  </si>
  <si>
    <t>actual [O2]</t>
  </si>
  <si>
    <t>legislation [O2]</t>
  </si>
  <si>
    <t>dry</t>
  </si>
  <si>
    <t>actual [NO]</t>
  </si>
  <si>
    <t>Legislation [NO]</t>
  </si>
  <si>
    <t>Legislation [NO2]</t>
  </si>
  <si>
    <t>ntotal dry 6%</t>
  </si>
  <si>
    <t>conversão kmol/kmol a mg/Nm3</t>
  </si>
  <si>
    <t>&gt;</t>
  </si>
  <si>
    <t>limit</t>
  </si>
  <si>
    <t>não está conforme</t>
  </si>
  <si>
    <t>=</t>
  </si>
  <si>
    <t>if add the same amount of NH3</t>
  </si>
  <si>
    <t>nNH3</t>
  </si>
  <si>
    <t>kmol</t>
  </si>
  <si>
    <t>efficiency means</t>
  </si>
  <si>
    <t xml:space="preserve">remove </t>
  </si>
  <si>
    <t>in flue gas</t>
  </si>
  <si>
    <t>&lt;</t>
  </si>
  <si>
    <t>fine!</t>
  </si>
  <si>
    <t>quantity NH3/quantity CxHy</t>
  </si>
  <si>
    <t>&lt;1%</t>
  </si>
  <si>
    <t>urea</t>
  </si>
  <si>
    <t>NH3</t>
  </si>
  <si>
    <t>the same chemical reaction with NH3, but the quantity of Urea will be,</t>
  </si>
  <si>
    <t>80% removal</t>
  </si>
  <si>
    <t>NH3add</t>
  </si>
  <si>
    <t>Urea</t>
  </si>
  <si>
    <t>Urea retail price</t>
  </si>
  <si>
    <t>NH3 retail price</t>
  </si>
  <si>
    <t>same conversion efficiency…</t>
  </si>
  <si>
    <t>+</t>
  </si>
  <si>
    <t>urea quantity</t>
  </si>
  <si>
    <t>kg</t>
  </si>
  <si>
    <t>&lt; 1%</t>
  </si>
  <si>
    <t>mixture 32.7%</t>
  </si>
  <si>
    <t>ntotal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</si>
</sst>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color theme="1"/>
      <name val="Calibri"/>
      <family val="2"/>
    </font>
    <font>
      <sz val="12"/>
      <color rgb="FF000000"/>
      <name val="Calibri"/>
      <family val="2"/>
      <scheme val="minor"/>
    </font>
    <font>
      <vertAlign val="superscript"/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2" borderId="0" xfId="0" applyFill="1"/>
    <xf numFmtId="0" fontId="4" fillId="2" borderId="0" xfId="0" applyFont="1" applyFill="1" applyAlignment="1">
      <alignment horizontal="left" vertical="center" readingOrder="1"/>
    </xf>
    <xf numFmtId="0" fontId="0" fillId="0" borderId="0" xfId="0" quotePrefix="1"/>
    <xf numFmtId="0" fontId="2" fillId="0" borderId="0" xfId="0" applyFon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593725</xdr:colOff>
      <xdr:row>1</xdr:row>
      <xdr:rowOff>149225</xdr:rowOff>
    </xdr:from>
    <xdr:to>
      <xdr:col>6</xdr:col>
      <xdr:colOff>555625</xdr:colOff>
      <xdr:row>7</xdr:row>
      <xdr:rowOff>127000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E9609C86-0AC3-479A-86AC-11C6095EBB96}"/>
            </a:ext>
          </a:extLst>
        </xdr:cNvPr>
        <xdr:cNvSpPr/>
      </xdr:nvSpPr>
      <xdr:spPr>
        <a:xfrm>
          <a:off x="2019300" y="336550"/>
          <a:ext cx="2400300" cy="11017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1</xdr:col>
      <xdr:colOff>574675</xdr:colOff>
      <xdr:row>2</xdr:row>
      <xdr:rowOff>0</xdr:rowOff>
    </xdr:from>
    <xdr:to>
      <xdr:col>3</xdr:col>
      <xdr:colOff>3175</xdr:colOff>
      <xdr:row>2</xdr:row>
      <xdr:rowOff>12700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F7DFA626-E01D-43CF-B394-6D74908F6090}"/>
            </a:ext>
          </a:extLst>
        </xdr:cNvPr>
        <xdr:cNvCxnSpPr/>
      </xdr:nvCxnSpPr>
      <xdr:spPr>
        <a:xfrm flipV="1">
          <a:off x="1390650" y="374650"/>
          <a:ext cx="647700" cy="127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482600</xdr:colOff>
      <xdr:row>6</xdr:row>
      <xdr:rowOff>3175</xdr:rowOff>
    </xdr:from>
    <xdr:to>
      <xdr:col>2</xdr:col>
      <xdr:colOff>600075</xdr:colOff>
      <xdr:row>6</xdr:row>
      <xdr:rowOff>12700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9A6F658D-529B-4C20-9AB4-D8086189CB0F}"/>
            </a:ext>
          </a:extLst>
        </xdr:cNvPr>
        <xdr:cNvCxnSpPr/>
      </xdr:nvCxnSpPr>
      <xdr:spPr>
        <a:xfrm flipV="1">
          <a:off x="482600" y="1127125"/>
          <a:ext cx="1543050" cy="9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561975</xdr:colOff>
      <xdr:row>4</xdr:row>
      <xdr:rowOff>3175</xdr:rowOff>
    </xdr:from>
    <xdr:to>
      <xdr:col>10</xdr:col>
      <xdr:colOff>257175</xdr:colOff>
      <xdr:row>4</xdr:row>
      <xdr:rowOff>12701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50A518B3-B7D0-42D0-90C9-F2FC396271F5}"/>
            </a:ext>
          </a:extLst>
        </xdr:cNvPr>
        <xdr:cNvCxnSpPr/>
      </xdr:nvCxnSpPr>
      <xdr:spPr>
        <a:xfrm flipV="1">
          <a:off x="4425950" y="752475"/>
          <a:ext cx="2133600" cy="952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374649</xdr:colOff>
      <xdr:row>2</xdr:row>
      <xdr:rowOff>10493</xdr:rowOff>
    </xdr:from>
    <xdr:to>
      <xdr:col>19</xdr:col>
      <xdr:colOff>9524</xdr:colOff>
      <xdr:row>16</xdr:row>
      <xdr:rowOff>171450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1D7423B9-82DD-4EF4-A1DE-0D58A406C339}"/>
            </a:ext>
          </a:extLst>
        </xdr:cNvPr>
        <xdr:cNvGrpSpPr/>
      </xdr:nvGrpSpPr>
      <xdr:grpSpPr>
        <a:xfrm>
          <a:off x="7058024" y="385143"/>
          <a:ext cx="5324475" cy="2783507"/>
          <a:chOff x="2238374" y="2391743"/>
          <a:chExt cx="5324475" cy="2783507"/>
        </a:xfrm>
      </xdr:grpSpPr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78CECF5C-8603-4C74-ACFD-58395498F13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238374" y="2391743"/>
            <a:ext cx="5324475" cy="2737762"/>
          </a:xfrm>
          <a:prstGeom prst="rect">
            <a:avLst/>
          </a:prstGeom>
        </xdr:spPr>
      </xdr:pic>
      <xdr:sp macro="" textlink="">
        <xdr:nvSpPr>
          <xdr:cNvPr id="11" name="Oval 10">
            <a:extLst>
              <a:ext uri="{FF2B5EF4-FFF2-40B4-BE49-F238E27FC236}">
                <a16:creationId xmlns:a16="http://schemas.microsoft.com/office/drawing/2014/main" id="{CAAED919-FB4A-43B0-B2EC-21DF567FA4E5}"/>
              </a:ext>
            </a:extLst>
          </xdr:cNvPr>
          <xdr:cNvSpPr/>
        </xdr:nvSpPr>
        <xdr:spPr>
          <a:xfrm>
            <a:off x="5905500" y="4873625"/>
            <a:ext cx="666750" cy="301625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PT" sz="1100"/>
          </a:p>
        </xdr:txBody>
      </xdr:sp>
    </xdr:grpSp>
    <xdr:clientData/>
  </xdr:twoCellAnchor>
  <xdr:twoCellAnchor>
    <xdr:from>
      <xdr:col>3</xdr:col>
      <xdr:colOff>0</xdr:colOff>
      <xdr:row>18</xdr:row>
      <xdr:rowOff>0</xdr:rowOff>
    </xdr:from>
    <xdr:to>
      <xdr:col>8</xdr:col>
      <xdr:colOff>137374</xdr:colOff>
      <xdr:row>21</xdr:row>
      <xdr:rowOff>146745</xdr:rowOff>
    </xdr:to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3" name="TextBox 16">
              <a:extLst>
                <a:ext uri="{FF2B5EF4-FFF2-40B4-BE49-F238E27FC236}">
                  <a16:creationId xmlns:a16="http://schemas.microsoft.com/office/drawing/2014/main" id="{D14D8A37-3D30-481D-8ABD-0CDE1A13191D}"/>
                </a:ext>
              </a:extLst>
            </xdr:cNvPr>
            <xdr:cNvSpPr txBox="1"/>
          </xdr:nvSpPr>
          <xdr:spPr>
            <a:xfrm>
              <a:off x="2416175" y="3371850"/>
              <a:ext cx="3185374" cy="708720"/>
            </a:xfrm>
            <a:prstGeom prst="rect">
              <a:avLst/>
            </a:prstGeom>
            <a:solidFill>
              <a:schemeClr val="bg1">
                <a:lumMod val="75000"/>
              </a:schemeClr>
            </a:solidFill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GB"/>
                <a:t>n</a:t>
              </a:r>
              <a:r>
                <a:rPr lang="en-GB" baseline="-25000"/>
                <a:t>xO2=</a:t>
              </a:r>
              <a:r>
                <a:rPr lang="en-GB"/>
                <a:t>4.76*</a:t>
              </a:r>
              <a14:m>
                <m:oMath xmlns:m="http://schemas.openxmlformats.org/officeDocument/2006/math">
                  <m:d>
                    <m:dPr>
                      <m:begChr m:val="["/>
                      <m:endChr m:val="]"/>
                      <m:ctrlPr>
                        <a:rPr lang="en-GB" i="1">
                          <a:latin typeface="Cambria Math" panose="02040503050406030204" pitchFamily="18" charset="0"/>
                        </a:rPr>
                      </m:ctrlPr>
                    </m:dPr>
                    <m:e>
                      <m:f>
                        <m:fPr>
                          <m:ctrlPr>
                            <a:rPr lang="en-GB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pt-PT" b="0" i="1">
                              <a:latin typeface="Cambria Math"/>
                            </a:rPr>
                            <m:t>𝑥</m:t>
                          </m:r>
                          <m:r>
                            <a:rPr lang="pt-PT" b="0" i="1">
                              <a:latin typeface="Cambria Math"/>
                            </a:rPr>
                            <m:t>+(1−</m:t>
                          </m:r>
                          <m:r>
                            <a:rPr lang="pt-PT" b="0" i="1">
                              <a:latin typeface="Cambria Math"/>
                            </a:rPr>
                            <m:t>𝑥𝑂</m:t>
                          </m:r>
                          <m:r>
                            <a:rPr lang="pt-PT" b="0" i="1">
                              <a:latin typeface="Cambria Math"/>
                            </a:rPr>
                            <m:t>2)</m:t>
                          </m:r>
                          <m:f>
                            <m:fPr>
                              <m:ctrlPr>
                                <a:rPr lang="pt-PT" i="1">
                                  <a:latin typeface="Cambria Math" panose="02040503050406030204" pitchFamily="18" charset="0"/>
                                </a:rPr>
                              </m:ctrlPr>
                            </m:fPr>
                            <m:num>
                              <m:r>
                                <a:rPr lang="pt-PT" i="1">
                                  <a:latin typeface="Cambria Math"/>
                                </a:rPr>
                                <m:t>𝑦</m:t>
                              </m:r>
                            </m:num>
                            <m:den>
                              <m:r>
                                <a:rPr lang="pt-PT" i="1">
                                  <a:latin typeface="Cambria Math"/>
                                </a:rPr>
                                <m:t>4</m:t>
                              </m:r>
                            </m:den>
                          </m:f>
                        </m:num>
                        <m:den>
                          <m:r>
                            <a:rPr lang="pt-PT" i="1">
                              <a:latin typeface="Cambria Math"/>
                            </a:rPr>
                            <m:t>1−4.76</m:t>
                          </m:r>
                          <m:r>
                            <a:rPr lang="pt-PT" i="1">
                              <a:latin typeface="Cambria Math"/>
                            </a:rPr>
                            <m:t>𝑥𝑂</m:t>
                          </m:r>
                          <m:r>
                            <a:rPr lang="pt-PT" i="1">
                              <a:latin typeface="Cambria Math"/>
                            </a:rPr>
                            <m:t>2</m:t>
                          </m:r>
                        </m:den>
                      </m:f>
                    </m:e>
                  </m:d>
                  <m:r>
                    <a:rPr lang="pt-PT" b="0" i="1">
                      <a:latin typeface="Cambria Math"/>
                    </a:rPr>
                    <m:t>−</m:t>
                  </m:r>
                  <m:f>
                    <m:fPr>
                      <m:ctrlPr>
                        <a:rPr lang="pt-PT" b="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pt-PT" b="0" i="1">
                          <a:latin typeface="Cambria Math"/>
                        </a:rPr>
                        <m:t>𝑦</m:t>
                      </m:r>
                    </m:num>
                    <m:den>
                      <m:r>
                        <a:rPr lang="pt-PT" b="0" i="1">
                          <a:latin typeface="Cambria Math"/>
                        </a:rPr>
                        <m:t>4</m:t>
                      </m:r>
                    </m:den>
                  </m:f>
                </m:oMath>
              </a14:m>
              <a:endParaRPr lang="en-GB"/>
            </a:p>
          </xdr:txBody>
        </xdr:sp>
      </mc:Choice>
      <mc:Fallback>
        <xdr:sp macro="" textlink="">
          <xdr:nvSpPr>
            <xdr:cNvPr id="13" name="TextBox 16">
              <a:extLst>
                <a:ext uri="{FF2B5EF4-FFF2-40B4-BE49-F238E27FC236}">
                  <a16:creationId xmlns:a16="http://schemas.microsoft.com/office/drawing/2014/main" id="{D14D8A37-3D30-481D-8ABD-0CDE1A13191D}"/>
                </a:ext>
              </a:extLst>
            </xdr:cNvPr>
            <xdr:cNvSpPr txBox="1"/>
          </xdr:nvSpPr>
          <xdr:spPr>
            <a:xfrm>
              <a:off x="2416175" y="3371850"/>
              <a:ext cx="3185374" cy="708720"/>
            </a:xfrm>
            <a:prstGeom prst="rect">
              <a:avLst/>
            </a:prstGeom>
            <a:solidFill>
              <a:schemeClr val="bg1">
                <a:lumMod val="75000"/>
              </a:schemeClr>
            </a:solidFill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GB"/>
                <a:t>n</a:t>
              </a:r>
              <a:r>
                <a:rPr lang="en-GB" baseline="-25000"/>
                <a:t>xO2=</a:t>
              </a:r>
              <a:r>
                <a:rPr lang="en-GB"/>
                <a:t>4.76*</a:t>
              </a:r>
              <a:r>
                <a:rPr lang="en-GB" i="0">
                  <a:latin typeface="Cambria Math" panose="02040503050406030204" pitchFamily="18" charset="0"/>
                </a:rPr>
                <a:t>[(</a:t>
              </a:r>
              <a:r>
                <a:rPr lang="pt-PT" b="0" i="0">
                  <a:latin typeface="Cambria Math"/>
                </a:rPr>
                <a:t>𝑥+(1−𝑥𝑂2)</a:t>
              </a:r>
              <a:r>
                <a:rPr lang="pt-PT" i="0">
                  <a:latin typeface="Cambria Math"/>
                </a:rPr>
                <a:t>𝑦</a:t>
              </a:r>
              <a:r>
                <a:rPr lang="pt-PT" i="0">
                  <a:latin typeface="Cambria Math" panose="02040503050406030204" pitchFamily="18" charset="0"/>
                </a:rPr>
                <a:t>/</a:t>
              </a:r>
              <a:r>
                <a:rPr lang="pt-PT" i="0">
                  <a:latin typeface="Cambria Math"/>
                </a:rPr>
                <a:t>4</a:t>
              </a:r>
              <a:r>
                <a:rPr lang="en-GB" i="0">
                  <a:latin typeface="Cambria Math" panose="02040503050406030204" pitchFamily="18" charset="0"/>
                </a:rPr>
                <a:t>)/(</a:t>
              </a:r>
              <a:r>
                <a:rPr lang="pt-PT" i="0">
                  <a:latin typeface="Cambria Math"/>
                </a:rPr>
                <a:t>1−4.76𝑥𝑂2</a:t>
              </a:r>
              <a:r>
                <a:rPr lang="en-GB" i="0">
                  <a:latin typeface="Cambria Math" panose="02040503050406030204" pitchFamily="18" charset="0"/>
                </a:rPr>
                <a:t>)</a:t>
              </a:r>
              <a:r>
                <a:rPr lang="pt-PT" i="0">
                  <a:latin typeface="Cambria Math" panose="02040503050406030204" pitchFamily="18" charset="0"/>
                </a:rPr>
                <a:t>]</a:t>
              </a:r>
              <a:r>
                <a:rPr lang="pt-PT" b="0" i="0">
                  <a:latin typeface="Cambria Math"/>
                </a:rPr>
                <a:t>−𝑦</a:t>
              </a:r>
              <a:r>
                <a:rPr lang="pt-PT" b="0" i="0">
                  <a:latin typeface="Cambria Math" panose="02040503050406030204" pitchFamily="18" charset="0"/>
                </a:rPr>
                <a:t>/</a:t>
              </a:r>
              <a:r>
                <a:rPr lang="pt-PT" b="0" i="0">
                  <a:latin typeface="Cambria Math"/>
                </a:rPr>
                <a:t>4</a:t>
              </a:r>
              <a:endParaRPr lang="en-GB"/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7465</xdr:colOff>
      <xdr:row>5</xdr:row>
      <xdr:rowOff>82549</xdr:rowOff>
    </xdr:from>
    <xdr:to>
      <xdr:col>14</xdr:col>
      <xdr:colOff>117475</xdr:colOff>
      <xdr:row>17</xdr:row>
      <xdr:rowOff>60324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71FFA32-8BA2-4EEF-8F9D-C486363C2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8865" y="1019174"/>
          <a:ext cx="1938810" cy="222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16</xdr:row>
      <xdr:rowOff>0</xdr:rowOff>
    </xdr:from>
    <xdr:to>
      <xdr:col>10</xdr:col>
      <xdr:colOff>137374</xdr:colOff>
      <xdr:row>19</xdr:row>
      <xdr:rowOff>146745</xdr:rowOff>
    </xdr:to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" name="TextBox 16">
              <a:extLst>
                <a:ext uri="{FF2B5EF4-FFF2-40B4-BE49-F238E27FC236}">
                  <a16:creationId xmlns:a16="http://schemas.microsoft.com/office/drawing/2014/main" id="{DFB9ECA3-84DD-4610-A3D5-CE8F45B1F8AF}"/>
                </a:ext>
              </a:extLst>
            </xdr:cNvPr>
            <xdr:cNvSpPr txBox="1"/>
          </xdr:nvSpPr>
          <xdr:spPr>
            <a:xfrm>
              <a:off x="2416175" y="3371850"/>
              <a:ext cx="3185374" cy="708720"/>
            </a:xfrm>
            <a:prstGeom prst="rect">
              <a:avLst/>
            </a:prstGeom>
            <a:solidFill>
              <a:schemeClr val="bg1">
                <a:lumMod val="75000"/>
              </a:schemeClr>
            </a:solidFill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GB"/>
                <a:t>n</a:t>
              </a:r>
              <a:r>
                <a:rPr lang="en-GB" baseline="-25000"/>
                <a:t>xO2=</a:t>
              </a:r>
              <a:r>
                <a:rPr lang="en-GB"/>
                <a:t>4.76*</a:t>
              </a:r>
              <a14:m>
                <m:oMath xmlns:m="http://schemas.openxmlformats.org/officeDocument/2006/math">
                  <m:d>
                    <m:dPr>
                      <m:begChr m:val="["/>
                      <m:endChr m:val="]"/>
                      <m:ctrlPr>
                        <a:rPr lang="en-GB" i="1">
                          <a:latin typeface="Cambria Math" panose="02040503050406030204" pitchFamily="18" charset="0"/>
                        </a:rPr>
                      </m:ctrlPr>
                    </m:dPr>
                    <m:e>
                      <m:f>
                        <m:fPr>
                          <m:ctrlPr>
                            <a:rPr lang="en-GB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pt-PT" b="0" i="1">
                              <a:latin typeface="Cambria Math"/>
                            </a:rPr>
                            <m:t>𝑥</m:t>
                          </m:r>
                          <m:r>
                            <a:rPr lang="pt-PT" b="0" i="1">
                              <a:latin typeface="Cambria Math"/>
                            </a:rPr>
                            <m:t>+(1−</m:t>
                          </m:r>
                          <m:r>
                            <a:rPr lang="pt-PT" b="0" i="1">
                              <a:latin typeface="Cambria Math"/>
                            </a:rPr>
                            <m:t>𝑥𝑂</m:t>
                          </m:r>
                          <m:r>
                            <a:rPr lang="pt-PT" b="0" i="1">
                              <a:latin typeface="Cambria Math"/>
                            </a:rPr>
                            <m:t>2)</m:t>
                          </m:r>
                          <m:f>
                            <m:fPr>
                              <m:ctrlPr>
                                <a:rPr lang="pt-PT" i="1">
                                  <a:latin typeface="Cambria Math" panose="02040503050406030204" pitchFamily="18" charset="0"/>
                                </a:rPr>
                              </m:ctrlPr>
                            </m:fPr>
                            <m:num>
                              <m:r>
                                <a:rPr lang="pt-PT" i="1">
                                  <a:latin typeface="Cambria Math"/>
                                </a:rPr>
                                <m:t>𝑦</m:t>
                              </m:r>
                            </m:num>
                            <m:den>
                              <m:r>
                                <a:rPr lang="pt-PT" i="1">
                                  <a:latin typeface="Cambria Math"/>
                                </a:rPr>
                                <m:t>4</m:t>
                              </m:r>
                            </m:den>
                          </m:f>
                        </m:num>
                        <m:den>
                          <m:r>
                            <a:rPr lang="pt-PT" i="1">
                              <a:latin typeface="Cambria Math"/>
                            </a:rPr>
                            <m:t>1−4.76</m:t>
                          </m:r>
                          <m:r>
                            <a:rPr lang="pt-PT" i="1">
                              <a:latin typeface="Cambria Math"/>
                            </a:rPr>
                            <m:t>𝑥𝑂</m:t>
                          </m:r>
                          <m:r>
                            <a:rPr lang="pt-PT" i="1">
                              <a:latin typeface="Cambria Math"/>
                            </a:rPr>
                            <m:t>2</m:t>
                          </m:r>
                        </m:den>
                      </m:f>
                    </m:e>
                  </m:d>
                  <m:r>
                    <a:rPr lang="pt-PT" b="0" i="1">
                      <a:latin typeface="Cambria Math"/>
                    </a:rPr>
                    <m:t>−</m:t>
                  </m:r>
                  <m:f>
                    <m:fPr>
                      <m:ctrlPr>
                        <a:rPr lang="pt-PT" b="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pt-PT" b="0" i="1">
                          <a:latin typeface="Cambria Math"/>
                        </a:rPr>
                        <m:t>𝑦</m:t>
                      </m:r>
                    </m:num>
                    <m:den>
                      <m:r>
                        <a:rPr lang="pt-PT" b="0" i="1">
                          <a:latin typeface="Cambria Math"/>
                        </a:rPr>
                        <m:t>4</m:t>
                      </m:r>
                    </m:den>
                  </m:f>
                </m:oMath>
              </a14:m>
              <a:endParaRPr lang="en-GB"/>
            </a:p>
          </xdr:txBody>
        </xdr:sp>
      </mc:Choice>
      <mc:Fallback>
        <xdr:sp macro="" textlink="">
          <xdr:nvSpPr>
            <xdr:cNvPr id="5" name="TextBox 16">
              <a:extLst>
                <a:ext uri="{FF2B5EF4-FFF2-40B4-BE49-F238E27FC236}">
                  <a16:creationId xmlns:a16="http://schemas.microsoft.com/office/drawing/2014/main" id="{DFB9ECA3-84DD-4610-A3D5-CE8F45B1F8AF}"/>
                </a:ext>
              </a:extLst>
            </xdr:cNvPr>
            <xdr:cNvSpPr txBox="1"/>
          </xdr:nvSpPr>
          <xdr:spPr>
            <a:xfrm>
              <a:off x="2416175" y="3371850"/>
              <a:ext cx="3185374" cy="708720"/>
            </a:xfrm>
            <a:prstGeom prst="rect">
              <a:avLst/>
            </a:prstGeom>
            <a:solidFill>
              <a:schemeClr val="bg1">
                <a:lumMod val="75000"/>
              </a:schemeClr>
            </a:solidFill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GB"/>
                <a:t>n</a:t>
              </a:r>
              <a:r>
                <a:rPr lang="en-GB" baseline="-25000"/>
                <a:t>xO2=</a:t>
              </a:r>
              <a:r>
                <a:rPr lang="en-GB"/>
                <a:t>4.76*</a:t>
              </a:r>
              <a:r>
                <a:rPr lang="en-GB" i="0">
                  <a:latin typeface="Cambria Math" panose="02040503050406030204" pitchFamily="18" charset="0"/>
                </a:rPr>
                <a:t>[(</a:t>
              </a:r>
              <a:r>
                <a:rPr lang="pt-PT" b="0" i="0">
                  <a:latin typeface="Cambria Math"/>
                </a:rPr>
                <a:t>𝑥+(1−𝑥𝑂2)</a:t>
              </a:r>
              <a:r>
                <a:rPr lang="pt-PT" i="0">
                  <a:latin typeface="Cambria Math"/>
                </a:rPr>
                <a:t>𝑦</a:t>
              </a:r>
              <a:r>
                <a:rPr lang="pt-PT" i="0">
                  <a:latin typeface="Cambria Math" panose="02040503050406030204" pitchFamily="18" charset="0"/>
                </a:rPr>
                <a:t>/</a:t>
              </a:r>
              <a:r>
                <a:rPr lang="pt-PT" i="0">
                  <a:latin typeface="Cambria Math"/>
                </a:rPr>
                <a:t>4</a:t>
              </a:r>
              <a:r>
                <a:rPr lang="en-GB" i="0">
                  <a:latin typeface="Cambria Math" panose="02040503050406030204" pitchFamily="18" charset="0"/>
                </a:rPr>
                <a:t>)/(</a:t>
              </a:r>
              <a:r>
                <a:rPr lang="pt-PT" i="0">
                  <a:latin typeface="Cambria Math"/>
                </a:rPr>
                <a:t>1−4.76𝑥𝑂2</a:t>
              </a:r>
              <a:r>
                <a:rPr lang="en-GB" i="0">
                  <a:latin typeface="Cambria Math" panose="02040503050406030204" pitchFamily="18" charset="0"/>
                </a:rPr>
                <a:t>)</a:t>
              </a:r>
              <a:r>
                <a:rPr lang="pt-PT" i="0">
                  <a:latin typeface="Cambria Math" panose="02040503050406030204" pitchFamily="18" charset="0"/>
                </a:rPr>
                <a:t>]</a:t>
              </a:r>
              <a:r>
                <a:rPr lang="pt-PT" b="0" i="0">
                  <a:latin typeface="Cambria Math"/>
                </a:rPr>
                <a:t>−𝑦</a:t>
              </a:r>
              <a:r>
                <a:rPr lang="pt-PT" b="0" i="0">
                  <a:latin typeface="Cambria Math" panose="02040503050406030204" pitchFamily="18" charset="0"/>
                </a:rPr>
                <a:t>/</a:t>
              </a:r>
              <a:r>
                <a:rPr lang="pt-PT" b="0" i="0">
                  <a:latin typeface="Cambria Math"/>
                </a:rPr>
                <a:t>4</a:t>
              </a:r>
              <a:endParaRPr lang="en-GB"/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4</xdr:row>
      <xdr:rowOff>53340</xdr:rowOff>
    </xdr:from>
    <xdr:to>
      <xdr:col>4</xdr:col>
      <xdr:colOff>596715</xdr:colOff>
      <xdr:row>5</xdr:row>
      <xdr:rowOff>158872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446020" y="784860"/>
          <a:ext cx="3027495" cy="28841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PT" sz="1200"/>
            <a:t>(</a:t>
          </a:r>
          <a:r>
            <a:rPr lang="pl-PL" sz="1200"/>
            <a:t>NH</a:t>
          </a:r>
          <a:r>
            <a:rPr lang="pl-PL" sz="1200" baseline="-25000"/>
            <a:t>2</a:t>
          </a:r>
          <a:r>
            <a:rPr lang="pt-PT" sz="1200"/>
            <a:t>)</a:t>
          </a:r>
          <a:r>
            <a:rPr lang="pl-PL" sz="1200" baseline="-25000"/>
            <a:t>2</a:t>
          </a:r>
          <a:r>
            <a:rPr lang="pl-PL" sz="1200"/>
            <a:t>CO </a:t>
          </a:r>
          <a:r>
            <a:rPr lang="pt-PT" sz="1200"/>
            <a:t>+</a:t>
          </a:r>
          <a:r>
            <a:rPr lang="pl-PL" sz="1200"/>
            <a:t> H</a:t>
          </a:r>
          <a:r>
            <a:rPr lang="pl-PL" sz="1200" baseline="-25000"/>
            <a:t>2</a:t>
          </a:r>
          <a:r>
            <a:rPr lang="pl-PL" sz="1200"/>
            <a:t>O </a:t>
          </a:r>
          <a:r>
            <a:rPr lang="pl-PL" sz="1200">
              <a:sym typeface="Symbol"/>
            </a:rPr>
            <a:t></a:t>
          </a:r>
          <a:r>
            <a:rPr lang="pl-PL" sz="1200"/>
            <a:t>2NH</a:t>
          </a:r>
          <a:r>
            <a:rPr lang="pl-PL" sz="1200" baseline="-25000"/>
            <a:t>3</a:t>
          </a:r>
          <a:r>
            <a:rPr lang="pl-PL" sz="1200"/>
            <a:t> </a:t>
          </a:r>
          <a:r>
            <a:rPr lang="pt-PT" sz="1200"/>
            <a:t>+</a:t>
          </a:r>
          <a:r>
            <a:rPr lang="pl-PL" sz="1200"/>
            <a:t> CO</a:t>
          </a:r>
          <a:r>
            <a:rPr lang="pl-PL" sz="1200" baseline="-25000"/>
            <a:t>2</a:t>
          </a:r>
          <a:endParaRPr lang="en-GB" sz="1200" baseline="-25000"/>
        </a:p>
      </xdr:txBody>
    </xdr:sp>
    <xdr:clientData/>
  </xdr:twoCellAnchor>
  <xdr:twoCellAnchor editAs="oneCell">
    <xdr:from>
      <xdr:col>5</xdr:col>
      <xdr:colOff>0</xdr:colOff>
      <xdr:row>2</xdr:row>
      <xdr:rowOff>0</xdr:rowOff>
    </xdr:from>
    <xdr:to>
      <xdr:col>9</xdr:col>
      <xdr:colOff>515614</xdr:colOff>
      <xdr:row>6</xdr:row>
      <xdr:rowOff>184192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840DA11-122B-4CBC-BCD7-294764DD2C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920" b="7810"/>
        <a:stretch/>
      </xdr:blipFill>
      <xdr:spPr bwMode="auto">
        <a:xfrm>
          <a:off x="5486400" y="374650"/>
          <a:ext cx="3157214" cy="9747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27</xdr:row>
      <xdr:rowOff>0</xdr:rowOff>
    </xdr:from>
    <xdr:to>
      <xdr:col>10</xdr:col>
      <xdr:colOff>137374</xdr:colOff>
      <xdr:row>30</xdr:row>
      <xdr:rowOff>146745</xdr:rowOff>
    </xdr:to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" name="TextBox 16">
              <a:extLst>
                <a:ext uri="{FF2B5EF4-FFF2-40B4-BE49-F238E27FC236}">
                  <a16:creationId xmlns:a16="http://schemas.microsoft.com/office/drawing/2014/main" id="{7C895425-D923-4CC4-88E0-E87D87708CF0}"/>
                </a:ext>
              </a:extLst>
            </xdr:cNvPr>
            <xdr:cNvSpPr txBox="1"/>
          </xdr:nvSpPr>
          <xdr:spPr>
            <a:xfrm>
              <a:off x="4787900" y="2997200"/>
              <a:ext cx="3642574" cy="708720"/>
            </a:xfrm>
            <a:prstGeom prst="rect">
              <a:avLst/>
            </a:prstGeom>
            <a:solidFill>
              <a:schemeClr val="bg1">
                <a:lumMod val="75000"/>
              </a:schemeClr>
            </a:solidFill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GB"/>
                <a:t>n</a:t>
              </a:r>
              <a:r>
                <a:rPr lang="en-GB" baseline="-25000"/>
                <a:t>xO2=</a:t>
              </a:r>
              <a:r>
                <a:rPr lang="en-GB"/>
                <a:t>4.76*</a:t>
              </a:r>
              <a14:m>
                <m:oMath xmlns:m="http://schemas.openxmlformats.org/officeDocument/2006/math">
                  <m:d>
                    <m:dPr>
                      <m:begChr m:val="["/>
                      <m:endChr m:val="]"/>
                      <m:ctrlPr>
                        <a:rPr lang="en-GB" i="1">
                          <a:latin typeface="Cambria Math" panose="02040503050406030204" pitchFamily="18" charset="0"/>
                        </a:rPr>
                      </m:ctrlPr>
                    </m:dPr>
                    <m:e>
                      <m:f>
                        <m:fPr>
                          <m:ctrlPr>
                            <a:rPr lang="en-GB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pt-PT" b="0" i="1">
                              <a:latin typeface="Cambria Math"/>
                            </a:rPr>
                            <m:t>𝑥</m:t>
                          </m:r>
                          <m:r>
                            <a:rPr lang="pt-PT" b="0" i="1">
                              <a:latin typeface="Cambria Math"/>
                            </a:rPr>
                            <m:t>+(1−</m:t>
                          </m:r>
                          <m:r>
                            <a:rPr lang="pt-PT" b="0" i="1">
                              <a:latin typeface="Cambria Math"/>
                            </a:rPr>
                            <m:t>𝑥𝑂</m:t>
                          </m:r>
                          <m:r>
                            <a:rPr lang="pt-PT" b="0" i="1">
                              <a:latin typeface="Cambria Math"/>
                            </a:rPr>
                            <m:t>2)</m:t>
                          </m:r>
                          <m:f>
                            <m:fPr>
                              <m:ctrlPr>
                                <a:rPr lang="pt-PT" i="1">
                                  <a:latin typeface="Cambria Math" panose="02040503050406030204" pitchFamily="18" charset="0"/>
                                </a:rPr>
                              </m:ctrlPr>
                            </m:fPr>
                            <m:num>
                              <m:r>
                                <a:rPr lang="pt-PT" i="1">
                                  <a:latin typeface="Cambria Math"/>
                                </a:rPr>
                                <m:t>𝑦</m:t>
                              </m:r>
                            </m:num>
                            <m:den>
                              <m:r>
                                <a:rPr lang="pt-PT" i="1">
                                  <a:latin typeface="Cambria Math"/>
                                </a:rPr>
                                <m:t>4</m:t>
                              </m:r>
                            </m:den>
                          </m:f>
                        </m:num>
                        <m:den>
                          <m:r>
                            <a:rPr lang="pt-PT" i="1">
                              <a:latin typeface="Cambria Math"/>
                            </a:rPr>
                            <m:t>1−4.76</m:t>
                          </m:r>
                          <m:r>
                            <a:rPr lang="pt-PT" i="1">
                              <a:latin typeface="Cambria Math"/>
                            </a:rPr>
                            <m:t>𝑥𝑂</m:t>
                          </m:r>
                          <m:r>
                            <a:rPr lang="pt-PT" i="1">
                              <a:latin typeface="Cambria Math"/>
                            </a:rPr>
                            <m:t>2</m:t>
                          </m:r>
                        </m:den>
                      </m:f>
                    </m:e>
                  </m:d>
                  <m:r>
                    <a:rPr lang="pt-PT" b="0" i="1">
                      <a:latin typeface="Cambria Math"/>
                    </a:rPr>
                    <m:t>−</m:t>
                  </m:r>
                  <m:f>
                    <m:fPr>
                      <m:ctrlPr>
                        <a:rPr lang="pt-PT" b="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pt-PT" b="0" i="1">
                          <a:latin typeface="Cambria Math"/>
                        </a:rPr>
                        <m:t>𝑦</m:t>
                      </m:r>
                    </m:num>
                    <m:den>
                      <m:r>
                        <a:rPr lang="pt-PT" b="0" i="1">
                          <a:latin typeface="Cambria Math"/>
                        </a:rPr>
                        <m:t>4</m:t>
                      </m:r>
                    </m:den>
                  </m:f>
                </m:oMath>
              </a14:m>
              <a:endParaRPr lang="en-GB"/>
            </a:p>
          </xdr:txBody>
        </xdr:sp>
      </mc:Choice>
      <mc:Fallback>
        <xdr:sp macro="" textlink="">
          <xdr:nvSpPr>
            <xdr:cNvPr id="5" name="TextBox 16">
              <a:extLst>
                <a:ext uri="{FF2B5EF4-FFF2-40B4-BE49-F238E27FC236}">
                  <a16:creationId xmlns:a16="http://schemas.microsoft.com/office/drawing/2014/main" id="{7C895425-D923-4CC4-88E0-E87D87708CF0}"/>
                </a:ext>
              </a:extLst>
            </xdr:cNvPr>
            <xdr:cNvSpPr txBox="1"/>
          </xdr:nvSpPr>
          <xdr:spPr>
            <a:xfrm>
              <a:off x="4787900" y="2997200"/>
              <a:ext cx="3642574" cy="708720"/>
            </a:xfrm>
            <a:prstGeom prst="rect">
              <a:avLst/>
            </a:prstGeom>
            <a:solidFill>
              <a:schemeClr val="bg1">
                <a:lumMod val="75000"/>
              </a:schemeClr>
            </a:solidFill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GB"/>
                <a:t>n</a:t>
              </a:r>
              <a:r>
                <a:rPr lang="en-GB" baseline="-25000"/>
                <a:t>xO2=</a:t>
              </a:r>
              <a:r>
                <a:rPr lang="en-GB"/>
                <a:t>4.76*</a:t>
              </a:r>
              <a:r>
                <a:rPr lang="en-GB" i="0">
                  <a:latin typeface="Cambria Math" panose="02040503050406030204" pitchFamily="18" charset="0"/>
                </a:rPr>
                <a:t>[(</a:t>
              </a:r>
              <a:r>
                <a:rPr lang="pt-PT" b="0" i="0">
                  <a:latin typeface="Cambria Math"/>
                </a:rPr>
                <a:t>𝑥+(1−𝑥𝑂2)</a:t>
              </a:r>
              <a:r>
                <a:rPr lang="pt-PT" i="0">
                  <a:latin typeface="Cambria Math"/>
                </a:rPr>
                <a:t>𝑦</a:t>
              </a:r>
              <a:r>
                <a:rPr lang="pt-PT" i="0">
                  <a:latin typeface="Cambria Math" panose="02040503050406030204" pitchFamily="18" charset="0"/>
                </a:rPr>
                <a:t>/</a:t>
              </a:r>
              <a:r>
                <a:rPr lang="pt-PT" i="0">
                  <a:latin typeface="Cambria Math"/>
                </a:rPr>
                <a:t>4</a:t>
              </a:r>
              <a:r>
                <a:rPr lang="en-GB" i="0">
                  <a:latin typeface="Cambria Math" panose="02040503050406030204" pitchFamily="18" charset="0"/>
                </a:rPr>
                <a:t>)/(</a:t>
              </a:r>
              <a:r>
                <a:rPr lang="pt-PT" i="0">
                  <a:latin typeface="Cambria Math"/>
                </a:rPr>
                <a:t>1−4.76𝑥𝑂2</a:t>
              </a:r>
              <a:r>
                <a:rPr lang="en-GB" i="0">
                  <a:latin typeface="Cambria Math" panose="02040503050406030204" pitchFamily="18" charset="0"/>
                </a:rPr>
                <a:t>)</a:t>
              </a:r>
              <a:r>
                <a:rPr lang="pt-PT" i="0">
                  <a:latin typeface="Cambria Math" panose="02040503050406030204" pitchFamily="18" charset="0"/>
                </a:rPr>
                <a:t>]</a:t>
              </a:r>
              <a:r>
                <a:rPr lang="pt-PT" b="0" i="0">
                  <a:latin typeface="Cambria Math"/>
                </a:rPr>
                <a:t>−𝑦</a:t>
              </a:r>
              <a:r>
                <a:rPr lang="pt-PT" b="0" i="0">
                  <a:latin typeface="Cambria Math" panose="02040503050406030204" pitchFamily="18" charset="0"/>
                </a:rPr>
                <a:t>/</a:t>
              </a:r>
              <a:r>
                <a:rPr lang="pt-PT" b="0" i="0">
                  <a:latin typeface="Cambria Math"/>
                </a:rPr>
                <a:t>4</a:t>
              </a:r>
              <a:endParaRPr lang="en-GB"/>
            </a:p>
          </xdr:txBody>
        </xdr:sp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250825</xdr:colOff>
      <xdr:row>5</xdr:row>
      <xdr:rowOff>174625</xdr:rowOff>
    </xdr:from>
    <xdr:to>
      <xdr:col>14</xdr:col>
      <xdr:colOff>127000</xdr:colOff>
      <xdr:row>29</xdr:row>
      <xdr:rowOff>50800</xdr:rowOff>
    </xdr:to>
    <xdr:pic>
      <xdr:nvPicPr>
        <xdr:cNvPr id="3" name="Picture 2" descr="Agricultural Economic Insights | Higher Fertilizer Prices in 2019">
          <a:extLst>
            <a:ext uri="{FF2B5EF4-FFF2-40B4-BE49-F238E27FC236}">
              <a16:creationId xmlns:a16="http://schemas.microsoft.com/office/drawing/2014/main" id="{3ABDEF54-3AF4-45B9-A50C-B28922B24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1111250"/>
          <a:ext cx="7191375" cy="437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6"/>
  <sheetViews>
    <sheetView topLeftCell="A9" workbookViewId="0">
      <selection activeCell="A27" sqref="A27"/>
    </sheetView>
  </sheetViews>
  <sheetFormatPr defaultRowHeight="14.75" x14ac:dyDescent="0.75"/>
  <cols>
    <col min="1" max="1" width="17.1328125" customWidth="1"/>
    <col min="11" max="11" width="11.6328125" bestFit="1" customWidth="1"/>
  </cols>
  <sheetData>
    <row r="1" spans="1:12" x14ac:dyDescent="0.75">
      <c r="A1" t="s">
        <v>26</v>
      </c>
      <c r="B1" s="5" t="s">
        <v>27</v>
      </c>
      <c r="C1">
        <f>H9</f>
        <v>5.2769348000000001E-2</v>
      </c>
      <c r="D1" t="s">
        <v>28</v>
      </c>
      <c r="E1">
        <f>H10</f>
        <v>2.8669892999999998E-2</v>
      </c>
      <c r="F1" t="s">
        <v>29</v>
      </c>
      <c r="G1">
        <f>H11</f>
        <v>0.27101598900000001</v>
      </c>
      <c r="H1" t="s">
        <v>30</v>
      </c>
      <c r="I1">
        <f>H13</f>
        <v>1.5955756000000001E-2</v>
      </c>
      <c r="J1" t="s">
        <v>4</v>
      </c>
      <c r="K1">
        <f>H12</f>
        <v>8.2011599999999999E-5</v>
      </c>
      <c r="L1" t="s">
        <v>3</v>
      </c>
    </row>
    <row r="3" spans="1:12" x14ac:dyDescent="0.75">
      <c r="B3" t="s">
        <v>32</v>
      </c>
    </row>
    <row r="4" spans="1:12" x14ac:dyDescent="0.75">
      <c r="B4">
        <v>90</v>
      </c>
      <c r="C4" t="s">
        <v>33</v>
      </c>
      <c r="I4" t="s">
        <v>34</v>
      </c>
    </row>
    <row r="6" spans="1:12" x14ac:dyDescent="0.75">
      <c r="B6" t="s">
        <v>31</v>
      </c>
    </row>
    <row r="9" spans="1:12" x14ac:dyDescent="0.75">
      <c r="G9" t="s">
        <v>0</v>
      </c>
      <c r="H9">
        <v>5.2769348000000001E-2</v>
      </c>
    </row>
    <row r="10" spans="1:12" x14ac:dyDescent="0.75">
      <c r="G10" t="s">
        <v>1</v>
      </c>
      <c r="H10">
        <v>2.8669892999999998E-2</v>
      </c>
    </row>
    <row r="11" spans="1:12" x14ac:dyDescent="0.75">
      <c r="G11" t="s">
        <v>2</v>
      </c>
      <c r="H11">
        <v>0.27101598900000001</v>
      </c>
    </row>
    <row r="12" spans="1:12" x14ac:dyDescent="0.75">
      <c r="G12" t="s">
        <v>3</v>
      </c>
      <c r="H12">
        <f>8.20116*10^-5</f>
        <v>8.2011599999999999E-5</v>
      </c>
    </row>
    <row r="13" spans="1:12" x14ac:dyDescent="0.75">
      <c r="G13" t="s">
        <v>4</v>
      </c>
      <c r="H13">
        <v>1.5955756000000001E-2</v>
      </c>
    </row>
    <row r="15" spans="1:12" x14ac:dyDescent="0.75">
      <c r="A15" t="s">
        <v>37</v>
      </c>
    </row>
    <row r="16" spans="1:12" x14ac:dyDescent="0.75">
      <c r="A16" t="s">
        <v>35</v>
      </c>
      <c r="B16">
        <f>I1/(SUM(C1,G1,I1,K1))</f>
        <v>4.6953122916057313E-2</v>
      </c>
      <c r="D16" t="s">
        <v>71</v>
      </c>
      <c r="F16">
        <f>C1+G1+I1+K1</f>
        <v>0.33982310459999998</v>
      </c>
    </row>
    <row r="17" spans="1:6" x14ac:dyDescent="0.75">
      <c r="A17" t="s">
        <v>38</v>
      </c>
      <c r="B17">
        <f>K1/(C1+G1+I1+K1)</f>
        <v>2.4133615074976866E-4</v>
      </c>
    </row>
    <row r="18" spans="1:6" x14ac:dyDescent="0.75">
      <c r="D18" t="s">
        <v>41</v>
      </c>
      <c r="F18">
        <f>4.76*(C1+(1-B19)*E1*2/4)/(1-4.76*B19)-E1*2/4</f>
        <v>0.42704576612541989</v>
      </c>
    </row>
    <row r="19" spans="1:6" x14ac:dyDescent="0.75">
      <c r="A19" t="s">
        <v>36</v>
      </c>
      <c r="B19">
        <v>0.06</v>
      </c>
    </row>
    <row r="20" spans="1:6" x14ac:dyDescent="0.75">
      <c r="A20" t="s">
        <v>39</v>
      </c>
      <c r="B20">
        <f>B17*(C1+G1+I1+K1)/F18</f>
        <v>1.9204405360130384E-4</v>
      </c>
    </row>
    <row r="21" spans="1:6" x14ac:dyDescent="0.75">
      <c r="A21" t="s">
        <v>40</v>
      </c>
      <c r="B21">
        <f>B20*'b) SNCR'!S1</f>
        <v>2.9446754885533257E-4</v>
      </c>
    </row>
    <row r="24" spans="1:6" x14ac:dyDescent="0.75">
      <c r="A24" t="s">
        <v>42</v>
      </c>
    </row>
    <row r="26" spans="1:6" x14ac:dyDescent="0.75">
      <c r="A26">
        <f>B21*(14+2*16)/24.8*1000000</f>
        <v>546.1898083606975</v>
      </c>
      <c r="B26" t="s">
        <v>43</v>
      </c>
      <c r="C26" t="s">
        <v>44</v>
      </c>
      <c r="D26" t="s">
        <v>45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topLeftCell="A12" workbookViewId="0">
      <selection activeCell="C34" sqref="C34"/>
    </sheetView>
  </sheetViews>
  <sheetFormatPr defaultRowHeight="14.75" x14ac:dyDescent="0.75"/>
  <cols>
    <col min="2" max="2" width="12" bestFit="1" customWidth="1"/>
    <col min="3" max="3" width="27.453125" bestFit="1" customWidth="1"/>
    <col min="4" max="4" width="11.6328125" bestFit="1" customWidth="1"/>
    <col min="7" max="8" width="12" bestFit="1" customWidth="1"/>
  </cols>
  <sheetData>
    <row r="1" spans="1:19" x14ac:dyDescent="0.75">
      <c r="A1" t="s">
        <v>0</v>
      </c>
      <c r="B1">
        <v>5.2769348000000001E-2</v>
      </c>
      <c r="C1" t="s">
        <v>47</v>
      </c>
      <c r="H1" t="s">
        <v>9</v>
      </c>
      <c r="L1">
        <f>B1</f>
        <v>5.2769348000000001E-2</v>
      </c>
      <c r="M1" t="s">
        <v>13</v>
      </c>
      <c r="O1" t="s">
        <v>11</v>
      </c>
      <c r="P1" t="s">
        <v>14</v>
      </c>
      <c r="S1">
        <f>(14+2*16)/(14+16)</f>
        <v>1.5333333333333334</v>
      </c>
    </row>
    <row r="2" spans="1:19" x14ac:dyDescent="0.75">
      <c r="A2" t="s">
        <v>1</v>
      </c>
      <c r="B2">
        <v>2.8669892999999998E-2</v>
      </c>
      <c r="H2" t="s">
        <v>24</v>
      </c>
      <c r="L2">
        <f>2*B2</f>
        <v>5.7339785999999997E-2</v>
      </c>
      <c r="M2" t="s">
        <v>10</v>
      </c>
      <c r="O2" t="s">
        <v>12</v>
      </c>
    </row>
    <row r="3" spans="1:19" x14ac:dyDescent="0.75">
      <c r="A3" t="s">
        <v>2</v>
      </c>
      <c r="B3">
        <v>0.27101598900000001</v>
      </c>
      <c r="C3" t="s">
        <v>48</v>
      </c>
      <c r="D3">
        <f>'a)'!H12</f>
        <v>8.2011599999999999E-5</v>
      </c>
      <c r="E3" t="s">
        <v>49</v>
      </c>
    </row>
    <row r="4" spans="1:19" x14ac:dyDescent="0.75">
      <c r="A4" t="s">
        <v>3</v>
      </c>
      <c r="B4">
        <f>8.20116*10^-5</f>
        <v>8.2011599999999999E-5</v>
      </c>
      <c r="C4" s="6">
        <v>0.8</v>
      </c>
      <c r="D4" t="s">
        <v>50</v>
      </c>
      <c r="E4" s="1"/>
      <c r="F4" s="1"/>
      <c r="G4" s="1"/>
      <c r="J4" s="1"/>
    </row>
    <row r="5" spans="1:19" x14ac:dyDescent="0.75">
      <c r="A5" t="s">
        <v>4</v>
      </c>
      <c r="B5">
        <v>1.5955756000000001E-2</v>
      </c>
    </row>
    <row r="6" spans="1:19" x14ac:dyDescent="0.75">
      <c r="C6" t="s">
        <v>51</v>
      </c>
      <c r="D6">
        <f>0.8*'a)'!H12</f>
        <v>6.5609280000000008E-5</v>
      </c>
    </row>
    <row r="7" spans="1:19" x14ac:dyDescent="0.75">
      <c r="C7" t="s">
        <v>52</v>
      </c>
      <c r="D7">
        <f>0.2*'a)'!H12</f>
        <v>1.6402320000000002E-5</v>
      </c>
    </row>
    <row r="9" spans="1:19" x14ac:dyDescent="0.75">
      <c r="A9" t="s">
        <v>0</v>
      </c>
      <c r="B9">
        <v>5.2769348000000001E-2</v>
      </c>
      <c r="I9" s="2" t="s">
        <v>15</v>
      </c>
      <c r="J9" s="2"/>
      <c r="K9" s="2"/>
    </row>
    <row r="10" spans="1:19" x14ac:dyDescent="0.75">
      <c r="A10" t="s">
        <v>1</v>
      </c>
      <c r="B10">
        <f>B2+D6*6/4</f>
        <v>2.8768306919999997E-2</v>
      </c>
      <c r="I10" s="2" t="s">
        <v>16</v>
      </c>
      <c r="J10" s="2"/>
      <c r="K10" s="2"/>
    </row>
    <row r="11" spans="1:19" x14ac:dyDescent="0.75">
      <c r="A11" t="s">
        <v>2</v>
      </c>
      <c r="B11">
        <f>B3+D6</f>
        <v>0.27108159828</v>
      </c>
      <c r="I11" s="2"/>
      <c r="J11" s="2"/>
      <c r="K11" s="2"/>
    </row>
    <row r="12" spans="1:19" x14ac:dyDescent="0.75">
      <c r="A12" t="s">
        <v>3</v>
      </c>
      <c r="B12">
        <f>D7</f>
        <v>1.6402320000000002E-5</v>
      </c>
    </row>
    <row r="13" spans="1:19" x14ac:dyDescent="0.75">
      <c r="A13" t="s">
        <v>4</v>
      </c>
      <c r="B13">
        <f>B5-D6/4</f>
        <v>1.5939353680000001E-2</v>
      </c>
    </row>
    <row r="14" spans="1:19" x14ac:dyDescent="0.75">
      <c r="A14" t="s">
        <v>58</v>
      </c>
      <c r="B14">
        <f>0.2*D3</f>
        <v>1.6402320000000002E-5</v>
      </c>
    </row>
    <row r="16" spans="1:19" x14ac:dyDescent="0.75">
      <c r="F16" t="s">
        <v>41</v>
      </c>
      <c r="H16">
        <f>4.76*(L1+(1-D24)*L2*2/4)/(1-4.76*D24)-L2*2/4</f>
        <v>0.50249285296752511</v>
      </c>
    </row>
    <row r="17" spans="1:6" x14ac:dyDescent="0.75">
      <c r="A17" t="s">
        <v>5</v>
      </c>
    </row>
    <row r="19" spans="1:6" x14ac:dyDescent="0.75">
      <c r="A19">
        <f>8.314*298/100</f>
        <v>24.77572</v>
      </c>
      <c r="B19" t="s">
        <v>6</v>
      </c>
    </row>
    <row r="20" spans="1:6" x14ac:dyDescent="0.75">
      <c r="C20" t="s">
        <v>37</v>
      </c>
    </row>
    <row r="21" spans="1:6" x14ac:dyDescent="0.75">
      <c r="A21" t="s">
        <v>7</v>
      </c>
      <c r="C21" t="s">
        <v>35</v>
      </c>
      <c r="D21">
        <f>B9+B11+B12+B13+B14</f>
        <v>0.33982310459999998</v>
      </c>
    </row>
    <row r="22" spans="1:6" x14ac:dyDescent="0.75">
      <c r="C22" t="s">
        <v>38</v>
      </c>
      <c r="D22">
        <f>D7/(B9+B11+B12+B13+B14)</f>
        <v>4.8267230149953739E-5</v>
      </c>
    </row>
    <row r="24" spans="1:6" x14ac:dyDescent="0.75">
      <c r="A24" t="s">
        <v>8</v>
      </c>
      <c r="C24" t="s">
        <v>36</v>
      </c>
      <c r="D24">
        <v>0.06</v>
      </c>
    </row>
    <row r="25" spans="1:6" x14ac:dyDescent="0.75">
      <c r="C25" t="s">
        <v>39</v>
      </c>
      <c r="D25">
        <f>D22*(B9+B11+B12+B13)/H16</f>
        <v>3.2640321565937892E-5</v>
      </c>
    </row>
    <row r="26" spans="1:6" x14ac:dyDescent="0.75">
      <c r="C26" t="s">
        <v>40</v>
      </c>
      <c r="D26">
        <f>D25*S1</f>
        <v>5.0048493067771439E-5</v>
      </c>
    </row>
    <row r="29" spans="1:6" x14ac:dyDescent="0.75">
      <c r="C29" s="1" t="s">
        <v>42</v>
      </c>
      <c r="D29" s="1"/>
      <c r="E29" s="1"/>
      <c r="F29" s="1"/>
    </row>
    <row r="30" spans="1:6" x14ac:dyDescent="0.75">
      <c r="C30" s="1"/>
      <c r="D30" s="1"/>
      <c r="E30" s="1"/>
      <c r="F30" s="1"/>
    </row>
    <row r="31" spans="1:6" x14ac:dyDescent="0.75">
      <c r="C31" s="1">
        <f>D26*(14+2*16)/24.8*1000000</f>
        <v>92.831882303124445</v>
      </c>
      <c r="D31" s="1" t="s">
        <v>53</v>
      </c>
      <c r="E31" s="1" t="s">
        <v>44</v>
      </c>
      <c r="F31" s="1" t="s">
        <v>54</v>
      </c>
    </row>
    <row r="33" spans="1:4" x14ac:dyDescent="0.75">
      <c r="A33" t="s">
        <v>55</v>
      </c>
      <c r="C33">
        <f>D3*(14+3)/(L1*12+L2)</f>
        <v>2.0189021227595104E-3</v>
      </c>
      <c r="D33" t="s">
        <v>56</v>
      </c>
    </row>
    <row r="34" spans="1:4" x14ac:dyDescent="0.75">
      <c r="C34">
        <f>C33*90</f>
        <v>0.18170119104835594</v>
      </c>
      <c r="D34" t="s">
        <v>33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47"/>
  <sheetViews>
    <sheetView topLeftCell="A30" workbookViewId="0">
      <selection activeCell="F47" sqref="E47:H47"/>
    </sheetView>
  </sheetViews>
  <sheetFormatPr defaultRowHeight="14.75" x14ac:dyDescent="0.75"/>
  <cols>
    <col min="2" max="4" width="11.6328125" bestFit="1" customWidth="1"/>
    <col min="6" max="6" width="11.6328125" bestFit="1" customWidth="1"/>
  </cols>
  <sheetData>
    <row r="2" spans="1:12" x14ac:dyDescent="0.75">
      <c r="A2" s="2" t="s">
        <v>17</v>
      </c>
      <c r="B2" s="2"/>
      <c r="C2" s="2"/>
      <c r="D2" s="2"/>
      <c r="E2" s="2"/>
    </row>
    <row r="3" spans="1:12" x14ac:dyDescent="0.75">
      <c r="A3" s="2"/>
      <c r="B3" s="2"/>
      <c r="C3" s="2"/>
      <c r="D3" s="2"/>
      <c r="E3" s="2"/>
    </row>
    <row r="4" spans="1:12" ht="18" x14ac:dyDescent="0.75">
      <c r="A4" s="3" t="s">
        <v>18</v>
      </c>
      <c r="B4" s="2"/>
      <c r="C4" s="2"/>
      <c r="D4" s="2"/>
      <c r="E4" s="2"/>
    </row>
    <row r="5" spans="1:12" x14ac:dyDescent="0.75">
      <c r="A5" s="2"/>
      <c r="B5" s="2"/>
      <c r="C5" s="2"/>
      <c r="D5" s="2"/>
      <c r="E5" s="2"/>
    </row>
    <row r="6" spans="1:12" x14ac:dyDescent="0.75">
      <c r="A6" s="2"/>
      <c r="B6" s="2"/>
      <c r="C6" s="2"/>
      <c r="D6" s="2"/>
      <c r="E6" s="2"/>
    </row>
    <row r="7" spans="1:12" x14ac:dyDescent="0.75">
      <c r="A7" s="2"/>
      <c r="B7" s="2"/>
      <c r="C7" s="2"/>
      <c r="D7" s="2"/>
      <c r="E7" s="2"/>
    </row>
    <row r="8" spans="1:12" x14ac:dyDescent="0.75">
      <c r="A8" s="2" t="s">
        <v>16</v>
      </c>
      <c r="B8" s="2"/>
      <c r="C8" s="2"/>
      <c r="D8" s="2"/>
      <c r="E8" s="2"/>
    </row>
    <row r="10" spans="1:12" x14ac:dyDescent="0.75">
      <c r="A10" t="s">
        <v>59</v>
      </c>
    </row>
    <row r="12" spans="1:12" x14ac:dyDescent="0.75">
      <c r="A12" t="s">
        <v>0</v>
      </c>
      <c r="B12">
        <v>5.2769348000000001E-2</v>
      </c>
      <c r="K12" t="s">
        <v>11</v>
      </c>
      <c r="L12">
        <f>'b) SNCR'!L1</f>
        <v>5.2769348000000001E-2</v>
      </c>
    </row>
    <row r="13" spans="1:12" x14ac:dyDescent="0.75">
      <c r="A13" t="s">
        <v>1</v>
      </c>
      <c r="B13">
        <v>2.8669892999999998E-2</v>
      </c>
      <c r="C13" t="s">
        <v>49</v>
      </c>
      <c r="K13" t="s">
        <v>12</v>
      </c>
      <c r="L13">
        <f>'b) SNCR'!L2</f>
        <v>5.7339785999999997E-2</v>
      </c>
    </row>
    <row r="14" spans="1:12" x14ac:dyDescent="0.75">
      <c r="A14" t="s">
        <v>2</v>
      </c>
      <c r="B14">
        <v>0.27101598900000001</v>
      </c>
    </row>
    <row r="15" spans="1:12" x14ac:dyDescent="0.75">
      <c r="A15" t="s">
        <v>3</v>
      </c>
      <c r="B15">
        <f>8.20116*10^-5</f>
        <v>8.2011599999999999E-5</v>
      </c>
      <c r="E15" t="s">
        <v>61</v>
      </c>
      <c r="F15">
        <f>B15</f>
        <v>8.2011599999999999E-5</v>
      </c>
      <c r="H15" t="s">
        <v>60</v>
      </c>
      <c r="J15">
        <f>B15*0.2</f>
        <v>1.6402320000000002E-5</v>
      </c>
    </row>
    <row r="16" spans="1:12" x14ac:dyDescent="0.75">
      <c r="A16" t="s">
        <v>4</v>
      </c>
      <c r="B16">
        <v>1.5955756000000001E-2</v>
      </c>
      <c r="E16" t="s">
        <v>62</v>
      </c>
      <c r="F16">
        <f>F15/2</f>
        <v>4.10058E-5</v>
      </c>
    </row>
    <row r="20" spans="1:8" x14ac:dyDescent="0.75">
      <c r="A20" t="s">
        <v>0</v>
      </c>
      <c r="B20">
        <f>B12+F15/2</f>
        <v>5.2810353800000001E-2</v>
      </c>
    </row>
    <row r="21" spans="1:8" x14ac:dyDescent="0.75">
      <c r="A21" t="s">
        <v>1</v>
      </c>
      <c r="B21">
        <f>B13+6/4*F15*0.8</f>
        <v>2.8768306919999997E-2</v>
      </c>
      <c r="C21" t="s">
        <v>49</v>
      </c>
    </row>
    <row r="22" spans="1:8" x14ac:dyDescent="0.75">
      <c r="A22" t="s">
        <v>2</v>
      </c>
      <c r="B22">
        <f>B14+F15*0.8</f>
        <v>0.27108159828</v>
      </c>
    </row>
    <row r="23" spans="1:8" x14ac:dyDescent="0.75">
      <c r="A23" t="s">
        <v>3</v>
      </c>
      <c r="B23">
        <f>J15</f>
        <v>1.6402320000000002E-5</v>
      </c>
    </row>
    <row r="24" spans="1:8" x14ac:dyDescent="0.75">
      <c r="A24" t="s">
        <v>4</v>
      </c>
      <c r="B24">
        <f>B16-F15*0.8/4</f>
        <v>1.5939353680000001E-2</v>
      </c>
    </row>
    <row r="25" spans="1:8" x14ac:dyDescent="0.75">
      <c r="A25" t="s">
        <v>58</v>
      </c>
      <c r="B25">
        <f>F15*0.2</f>
        <v>1.6402320000000002E-5</v>
      </c>
    </row>
    <row r="27" spans="1:8" x14ac:dyDescent="0.75">
      <c r="F27" t="s">
        <v>41</v>
      </c>
      <c r="H27">
        <f>4.76*(L12+(1-D35)*L13*2/4)/(1-4.76*D35)-L13*2/4</f>
        <v>0.50249285296752511</v>
      </c>
    </row>
    <row r="28" spans="1:8" x14ac:dyDescent="0.75">
      <c r="A28" t="s">
        <v>5</v>
      </c>
    </row>
    <row r="30" spans="1:8" x14ac:dyDescent="0.75">
      <c r="A30">
        <f>8.314*298/100</f>
        <v>24.77572</v>
      </c>
      <c r="B30" t="s">
        <v>6</v>
      </c>
    </row>
    <row r="31" spans="1:8" x14ac:dyDescent="0.75">
      <c r="C31" t="s">
        <v>37</v>
      </c>
    </row>
    <row r="32" spans="1:8" x14ac:dyDescent="0.75">
      <c r="A32" t="s">
        <v>7</v>
      </c>
      <c r="C32" t="s">
        <v>35</v>
      </c>
      <c r="D32">
        <f>B20+B22+B23+B24+B25</f>
        <v>0.33986411039999997</v>
      </c>
    </row>
    <row r="33" spans="1:7" x14ac:dyDescent="0.75">
      <c r="C33" t="s">
        <v>38</v>
      </c>
      <c r="D33">
        <f>B23/(B20+B22+B23+B24+B25)</f>
        <v>4.8261406538911805E-5</v>
      </c>
    </row>
    <row r="35" spans="1:7" x14ac:dyDescent="0.75">
      <c r="A35" t="s">
        <v>8</v>
      </c>
      <c r="C35" t="s">
        <v>36</v>
      </c>
      <c r="D35">
        <v>0.06</v>
      </c>
    </row>
    <row r="36" spans="1:7" x14ac:dyDescent="0.75">
      <c r="C36" t="s">
        <v>39</v>
      </c>
      <c r="D36">
        <f>D33*(B20+B22+B23+B24+B25)/H27</f>
        <v>3.2641897099897746E-5</v>
      </c>
    </row>
    <row r="37" spans="1:7" x14ac:dyDescent="0.75">
      <c r="C37" t="s">
        <v>40</v>
      </c>
      <c r="D37">
        <f>D36*'b) SNCR'!S1</f>
        <v>5.0050908886509881E-5</v>
      </c>
    </row>
    <row r="40" spans="1:7" x14ac:dyDescent="0.75">
      <c r="C40" s="1" t="s">
        <v>42</v>
      </c>
      <c r="D40" s="1"/>
      <c r="E40" s="1"/>
      <c r="F40" s="1"/>
    </row>
    <row r="41" spans="1:7" x14ac:dyDescent="0.75">
      <c r="C41" s="1"/>
      <c r="D41" s="1"/>
      <c r="E41" s="1"/>
      <c r="F41" s="1"/>
    </row>
    <row r="42" spans="1:7" x14ac:dyDescent="0.75">
      <c r="C42" s="1">
        <f>D37*(14+2*16)/24.8*1000000</f>
        <v>92.836363257236073</v>
      </c>
      <c r="D42" s="1" t="s">
        <v>53</v>
      </c>
      <c r="E42" s="1" t="s">
        <v>44</v>
      </c>
      <c r="F42" s="1" t="s">
        <v>54</v>
      </c>
    </row>
    <row r="44" spans="1:7" x14ac:dyDescent="0.75">
      <c r="A44" t="s">
        <v>67</v>
      </c>
      <c r="C44">
        <f>F16</f>
        <v>4.10058E-5</v>
      </c>
      <c r="D44" t="s">
        <v>49</v>
      </c>
      <c r="E44">
        <f>C44*(12+16+2*14+4)</f>
        <v>2.4603479999999998E-3</v>
      </c>
      <c r="F44" t="s">
        <v>68</v>
      </c>
    </row>
    <row r="45" spans="1:7" x14ac:dyDescent="0.75">
      <c r="E45">
        <f>E44/('b) SNCR'!L1*12+'b) SNCR'!L2*1)*100</f>
        <v>0.35627684519285474</v>
      </c>
      <c r="F45" t="s">
        <v>69</v>
      </c>
    </row>
    <row r="46" spans="1:7" x14ac:dyDescent="0.75">
      <c r="E46">
        <f>E45*90/100</f>
        <v>0.32064916067356924</v>
      </c>
      <c r="F46" t="s">
        <v>33</v>
      </c>
      <c r="G46" t="s">
        <v>57</v>
      </c>
    </row>
    <row r="47" spans="1:7" x14ac:dyDescent="0.75">
      <c r="E47">
        <f>E46/0.327</f>
        <v>0.98057847300785694</v>
      </c>
      <c r="F47" t="s">
        <v>33</v>
      </c>
      <c r="G47" t="s">
        <v>70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BB2D6-105A-4BB8-A62E-B0EEA27D0E18}">
  <dimension ref="A1:D10"/>
  <sheetViews>
    <sheetView tabSelected="1" workbookViewId="0">
      <selection activeCell="Q9" sqref="Q9"/>
    </sheetView>
  </sheetViews>
  <sheetFormatPr defaultRowHeight="14.75" x14ac:dyDescent="0.75"/>
  <cols>
    <col min="1" max="1" width="11.26953125" bestFit="1" customWidth="1"/>
  </cols>
  <sheetData>
    <row r="1" spans="1:4" x14ac:dyDescent="0.75">
      <c r="B1" t="s">
        <v>19</v>
      </c>
      <c r="C1" t="s">
        <v>20</v>
      </c>
    </row>
    <row r="2" spans="1:4" x14ac:dyDescent="0.75">
      <c r="A2" t="s">
        <v>21</v>
      </c>
      <c r="C2" t="s">
        <v>66</v>
      </c>
    </row>
    <row r="3" spans="1:4" x14ac:dyDescent="0.75">
      <c r="A3" t="s">
        <v>22</v>
      </c>
      <c r="C3" s="4" t="s">
        <v>66</v>
      </c>
    </row>
    <row r="4" spans="1:4" x14ac:dyDescent="0.75">
      <c r="A4" t="s">
        <v>25</v>
      </c>
      <c r="B4" s="4"/>
      <c r="C4" s="4" t="s">
        <v>66</v>
      </c>
    </row>
    <row r="5" spans="1:4" x14ac:dyDescent="0.75">
      <c r="A5" t="s">
        <v>23</v>
      </c>
      <c r="B5" t="s">
        <v>46</v>
      </c>
      <c r="C5" t="s">
        <v>46</v>
      </c>
      <c r="D5" t="s">
        <v>65</v>
      </c>
    </row>
    <row r="8" spans="1:4" x14ac:dyDescent="0.75">
      <c r="A8" t="s">
        <v>63</v>
      </c>
    </row>
    <row r="10" spans="1:4" x14ac:dyDescent="0.75">
      <c r="A10" t="s">
        <v>64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a)</vt:lpstr>
      <vt:lpstr>b) SNCR</vt:lpstr>
      <vt:lpstr>c)SCR</vt:lpstr>
      <vt:lpstr>comparison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Silva</dc:creator>
  <cp:lastModifiedBy>Carla Silva</cp:lastModifiedBy>
  <dcterms:created xsi:type="dcterms:W3CDTF">2017-04-05T15:46:04Z</dcterms:created>
  <dcterms:modified xsi:type="dcterms:W3CDTF">2020-04-11T18:58:33Z</dcterms:modified>
</cp:coreProperties>
</file>