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Ano 4, Semestre 2\Sistemas de Energia\TPs\Trabalhos\"/>
    </mc:Choice>
  </mc:AlternateContent>
  <xr:revisionPtr revIDLastSave="0" documentId="13_ncr:1_{B80DFF59-3192-48EB-8010-2CC7B3198F92}" xr6:coauthVersionLast="41" xr6:coauthVersionMax="41" xr10:uidLastSave="{00000000-0000-0000-0000-000000000000}"/>
  <bookViews>
    <workbookView xWindow="-120" yWindow="-120" windowWidth="29040" windowHeight="15840" activeTab="1" xr2:uid="{E335C70A-BAD4-4A1A-A335-EF9703691447}"/>
  </bookViews>
  <sheets>
    <sheet name="Biocombustíveis" sheetId="1" r:id="rId1"/>
    <sheet name="Biomassa" sheetId="2" r:id="rId2"/>
    <sheet name="Biomassa II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G19" i="3" s="1"/>
  <c r="G15" i="3"/>
  <c r="C15" i="3"/>
  <c r="D15" i="3" s="1"/>
  <c r="F15" i="3" s="1"/>
  <c r="G14" i="3"/>
  <c r="C14" i="3"/>
  <c r="D14" i="3" s="1"/>
  <c r="F14" i="3" s="1"/>
  <c r="G13" i="3"/>
  <c r="C13" i="3"/>
  <c r="D13" i="3" s="1"/>
  <c r="F13" i="3" s="1"/>
  <c r="G12" i="3"/>
  <c r="C12" i="3"/>
  <c r="D12" i="3" s="1"/>
  <c r="F12" i="3" s="1"/>
  <c r="G8" i="3"/>
  <c r="F8" i="3"/>
  <c r="G7" i="3"/>
  <c r="F7" i="3"/>
  <c r="G6" i="3"/>
  <c r="F6" i="3"/>
  <c r="G5" i="3"/>
  <c r="F5" i="3"/>
  <c r="E5" i="3"/>
  <c r="G23" i="3" l="1"/>
  <c r="H23" i="3" s="1"/>
  <c r="G22" i="3"/>
  <c r="H22" i="3" s="1"/>
  <c r="G21" i="3"/>
  <c r="H21" i="3" s="1"/>
  <c r="G24" i="3"/>
  <c r="H24" i="3" s="1"/>
  <c r="N21" i="2" l="1"/>
  <c r="N20" i="2"/>
  <c r="N19" i="2"/>
  <c r="C27" i="1" l="1"/>
  <c r="C26" i="1"/>
  <c r="H26" i="1" l="1"/>
  <c r="G26" i="1"/>
  <c r="F26" i="1"/>
  <c r="E26" i="1"/>
  <c r="D26" i="1"/>
  <c r="D24" i="1" l="1"/>
  <c r="C22" i="1"/>
  <c r="D22" i="1"/>
  <c r="E22" i="1"/>
  <c r="F22" i="1"/>
  <c r="G22" i="1"/>
  <c r="G27" i="1" s="1"/>
  <c r="H22" i="1"/>
  <c r="C24" i="1"/>
  <c r="E24" i="1"/>
  <c r="F24" i="1"/>
  <c r="G24" i="1"/>
  <c r="H24" i="1"/>
  <c r="F27" i="1" l="1"/>
  <c r="H27" i="1"/>
  <c r="D27" i="1"/>
  <c r="E27" i="1"/>
  <c r="C6" i="1"/>
  <c r="C5" i="1" l="1"/>
  <c r="C4" i="1"/>
  <c r="C7" i="1" l="1"/>
</calcChain>
</file>

<file path=xl/sharedStrings.xml><?xml version="1.0" encoding="utf-8"?>
<sst xmlns="http://schemas.openxmlformats.org/spreadsheetml/2006/main" count="233" uniqueCount="192">
  <si>
    <t>Dados</t>
  </si>
  <si>
    <t>Nº habitantes</t>
  </si>
  <si>
    <t>Nº carros por pessoa</t>
  </si>
  <si>
    <t>Nº total de carros</t>
  </si>
  <si>
    <t>Área total (km2)</t>
  </si>
  <si>
    <t>Área total (ha)</t>
  </si>
  <si>
    <t>Nº habitações</t>
  </si>
  <si>
    <t>Cultura</t>
  </si>
  <si>
    <t>Beterraba</t>
  </si>
  <si>
    <t>Temperatura ideal [ºC]</t>
  </si>
  <si>
    <t>Temperatura [ºC]</t>
  </si>
  <si>
    <t>Precipitação necessária anual [mm]</t>
  </si>
  <si>
    <t>Cana de açúcar</t>
  </si>
  <si>
    <t>Milho</t>
  </si>
  <si>
    <t>Trigo</t>
  </si>
  <si>
    <t>Mandioca</t>
  </si>
  <si>
    <t>Bioetanol</t>
  </si>
  <si>
    <t>Biodiesel</t>
  </si>
  <si>
    <t>Colza</t>
  </si>
  <si>
    <t>Soja</t>
  </si>
  <si>
    <t>Palma</t>
  </si>
  <si>
    <t>Jatropha</t>
  </si>
  <si>
    <t>Girassol</t>
  </si>
  <si>
    <t>Temperatura mínima [ºC]</t>
  </si>
  <si>
    <t>Temperatura máxima [ºC]</t>
  </si>
  <si>
    <t>Tempo de cultivo [meses]</t>
  </si>
  <si>
    <t>Compatível</t>
  </si>
  <si>
    <t>Mínima</t>
  </si>
  <si>
    <t>Média</t>
  </si>
  <si>
    <t>Máxima</t>
  </si>
  <si>
    <t>Não</t>
  </si>
  <si>
    <t>Sim</t>
  </si>
  <si>
    <t>Pode não ser</t>
  </si>
  <si>
    <t>Rendimento</t>
  </si>
  <si>
    <t>Custo</t>
  </si>
  <si>
    <t>Densidade</t>
  </si>
  <si>
    <t>Precipitação [mm]</t>
  </si>
  <si>
    <t>Total</t>
  </si>
  <si>
    <r>
      <t>40</t>
    </r>
    <r>
      <rPr>
        <vertAlign val="superscript"/>
        <sz val="11"/>
        <color theme="1"/>
        <rFont val="Calibri"/>
        <family val="2"/>
        <scheme val="minor"/>
      </rPr>
      <t>[8]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</si>
  <si>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[10]</t>
    </r>
  </si>
  <si>
    <r>
      <t>35</t>
    </r>
    <r>
      <rPr>
        <vertAlign val="superscript"/>
        <sz val="11"/>
        <color theme="1"/>
        <rFont val="Calibri"/>
        <family val="2"/>
        <scheme val="minor"/>
      </rPr>
      <t>[20]</t>
    </r>
  </si>
  <si>
    <r>
      <t>0,0952</t>
    </r>
    <r>
      <rPr>
        <vertAlign val="superscript"/>
        <sz val="11"/>
        <color theme="1"/>
        <rFont val="Calibri"/>
        <family val="2"/>
        <scheme val="minor"/>
      </rPr>
      <t>[24]</t>
    </r>
  </si>
  <si>
    <t>Mobilidade</t>
  </si>
  <si>
    <t>Consumo [L/100 km]</t>
  </si>
  <si>
    <r>
      <t>Área de cultivo [km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</si>
  <si>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t>Produtividade [L/m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</si>
  <si>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t>Densidade volúmica [kWh/L]</t>
  </si>
  <si>
    <r>
      <t>Densidade energética [kWh/m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/ano]</t>
    </r>
  </si>
  <si>
    <t>Custo volumétrico [€/L]</t>
  </si>
  <si>
    <t>Custo energético [€/kWh]</t>
  </si>
  <si>
    <r>
      <t>0 a 3</t>
    </r>
    <r>
      <rPr>
        <vertAlign val="superscript"/>
        <sz val="11"/>
        <color theme="1"/>
        <rFont val="Calibri"/>
        <family val="2"/>
        <scheme val="minor"/>
      </rPr>
      <t>[4]</t>
    </r>
  </si>
  <si>
    <r>
      <t>38</t>
    </r>
    <r>
      <rPr>
        <vertAlign val="superscript"/>
        <sz val="11"/>
        <color theme="1"/>
        <rFont val="Calibri"/>
        <family val="2"/>
        <scheme val="minor"/>
      </rPr>
      <t>[5]</t>
    </r>
  </si>
  <si>
    <r>
      <t>18 a 21</t>
    </r>
    <r>
      <rPr>
        <vertAlign val="superscript"/>
        <sz val="11"/>
        <color theme="1"/>
        <rFont val="Calibri"/>
        <family val="2"/>
        <scheme val="minor"/>
      </rPr>
      <t>[5]</t>
    </r>
  </si>
  <si>
    <r>
      <t>480 a 650</t>
    </r>
    <r>
      <rPr>
        <vertAlign val="superscript"/>
        <sz val="11"/>
        <rFont val="Calibri"/>
        <family val="2"/>
        <scheme val="minor"/>
      </rPr>
      <t>[6]</t>
    </r>
  </si>
  <si>
    <r>
      <t>6</t>
    </r>
    <r>
      <rPr>
        <vertAlign val="superscript"/>
        <sz val="11"/>
        <rFont val="Calibri"/>
        <family val="2"/>
        <scheme val="minor"/>
      </rPr>
      <t>[7]</t>
    </r>
  </si>
  <si>
    <r>
      <t>12 a 14</t>
    </r>
    <r>
      <rPr>
        <vertAlign val="superscript"/>
        <sz val="11"/>
        <color theme="1"/>
        <rFont val="Calibri"/>
        <family val="2"/>
        <scheme val="minor"/>
      </rPr>
      <t>[8]</t>
    </r>
  </si>
  <si>
    <r>
      <t>32 a 34</t>
    </r>
    <r>
      <rPr>
        <vertAlign val="superscript"/>
        <sz val="11"/>
        <color theme="1"/>
        <rFont val="Calibri"/>
        <family val="2"/>
        <scheme val="minor"/>
      </rPr>
      <t>[8]</t>
    </r>
  </si>
  <si>
    <r>
      <t>1100 a 1500</t>
    </r>
    <r>
      <rPr>
        <vertAlign val="superscript"/>
        <sz val="11"/>
        <rFont val="Calibri"/>
        <family val="2"/>
        <scheme val="minor"/>
      </rPr>
      <t>[8]</t>
    </r>
  </si>
  <si>
    <r>
      <t>12</t>
    </r>
    <r>
      <rPr>
        <vertAlign val="superscript"/>
        <sz val="11"/>
        <rFont val="Calibri"/>
        <family val="2"/>
        <scheme val="minor"/>
      </rPr>
      <t>[9]</t>
    </r>
  </si>
  <si>
    <r>
      <t>40</t>
    </r>
    <r>
      <rPr>
        <vertAlign val="superscript"/>
        <sz val="11"/>
        <color theme="1"/>
        <rFont val="Calibri"/>
        <family val="2"/>
        <scheme val="minor"/>
      </rPr>
      <t>[10]</t>
    </r>
  </si>
  <si>
    <r>
      <t>25 a 29</t>
    </r>
    <r>
      <rPr>
        <vertAlign val="superscript"/>
        <sz val="11"/>
        <color theme="1"/>
        <rFont val="Calibri"/>
        <family val="2"/>
        <scheme val="minor"/>
      </rPr>
      <t>[10]</t>
    </r>
  </si>
  <si>
    <r>
      <t>1500</t>
    </r>
    <r>
      <rPr>
        <vertAlign val="superscript"/>
        <sz val="11"/>
        <color theme="1"/>
        <rFont val="Calibri"/>
        <family val="2"/>
        <scheme val="minor"/>
      </rPr>
      <t>[10]</t>
    </r>
  </si>
  <si>
    <r>
      <t>8 a 12</t>
    </r>
    <r>
      <rPr>
        <vertAlign val="superscript"/>
        <sz val="11"/>
        <color theme="1"/>
        <rFont val="Calibri"/>
        <family val="2"/>
        <scheme val="minor"/>
      </rPr>
      <t>[11]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</si>
  <si>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[12]</t>
    </r>
  </si>
  <si>
    <r>
      <t>45</t>
    </r>
    <r>
      <rPr>
        <vertAlign val="superscript"/>
        <sz val="11"/>
        <color theme="1"/>
        <rFont val="Calibri"/>
        <family val="2"/>
        <scheme val="minor"/>
      </rPr>
      <t>[13]</t>
    </r>
  </si>
  <si>
    <r>
      <t>20 a 31</t>
    </r>
    <r>
      <rPr>
        <vertAlign val="superscript"/>
        <sz val="11"/>
        <color theme="1"/>
        <rFont val="Calibri"/>
        <family val="2"/>
        <scheme val="minor"/>
      </rPr>
      <t>[13]</t>
    </r>
  </si>
  <si>
    <r>
      <t>300</t>
    </r>
    <r>
      <rPr>
        <vertAlign val="superscript"/>
        <sz val="11"/>
        <color theme="1"/>
        <rFont val="Calibri"/>
        <family val="2"/>
        <scheme val="minor"/>
      </rPr>
      <t>[13]</t>
    </r>
  </si>
  <si>
    <r>
      <t>4</t>
    </r>
    <r>
      <rPr>
        <vertAlign val="superscript"/>
        <sz val="11"/>
        <color theme="1"/>
        <rFont val="Calibri"/>
        <family val="2"/>
        <scheme val="minor"/>
      </rPr>
      <t>[14]</t>
    </r>
  </si>
  <si>
    <r>
      <t>3,5 a 5,5</t>
    </r>
    <r>
      <rPr>
        <vertAlign val="superscript"/>
        <sz val="11"/>
        <color theme="1"/>
        <rFont val="Calibri"/>
        <family val="2"/>
        <scheme val="minor"/>
      </rPr>
      <t>[15]</t>
    </r>
  </si>
  <si>
    <r>
      <t>35</t>
    </r>
    <r>
      <rPr>
        <vertAlign val="superscript"/>
        <sz val="11"/>
        <color theme="1"/>
        <rFont val="Calibri"/>
        <family val="2"/>
        <scheme val="minor"/>
      </rPr>
      <t>[15]</t>
    </r>
  </si>
  <si>
    <r>
      <t>20 a 25</t>
    </r>
    <r>
      <rPr>
        <vertAlign val="superscript"/>
        <sz val="11"/>
        <color theme="1"/>
        <rFont val="Calibri"/>
        <family val="2"/>
        <scheme val="minor"/>
      </rPr>
      <t>[15]</t>
    </r>
  </si>
  <si>
    <r>
      <t>250</t>
    </r>
    <r>
      <rPr>
        <vertAlign val="superscript"/>
        <sz val="11"/>
        <color theme="1"/>
        <rFont val="Calibri"/>
        <family val="2"/>
        <scheme val="minor"/>
      </rPr>
      <t>[16]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</si>
  <si>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[17]</t>
    </r>
  </si>
  <si>
    <r>
      <t>30</t>
    </r>
    <r>
      <rPr>
        <vertAlign val="superscript"/>
        <sz val="11"/>
        <color theme="1"/>
        <rFont val="Calibri"/>
        <family val="2"/>
        <scheme val="minor"/>
      </rPr>
      <t>[17]</t>
    </r>
  </si>
  <si>
    <r>
      <t>21 a 24</t>
    </r>
    <r>
      <rPr>
        <vertAlign val="superscript"/>
        <sz val="11"/>
        <color theme="1"/>
        <rFont val="Calibri"/>
        <family val="2"/>
        <scheme val="minor"/>
      </rPr>
      <t>[17]</t>
    </r>
  </si>
  <si>
    <r>
      <t>250 a 350</t>
    </r>
    <r>
      <rPr>
        <vertAlign val="superscript"/>
        <sz val="11"/>
        <color theme="1"/>
        <rFont val="Calibri"/>
        <family val="2"/>
        <scheme val="minor"/>
      </rPr>
      <t>[18]</t>
    </r>
  </si>
  <si>
    <r>
      <t>4</t>
    </r>
    <r>
      <rPr>
        <vertAlign val="superscript"/>
        <sz val="11"/>
        <color theme="1"/>
        <rFont val="Calibri"/>
        <family val="2"/>
        <scheme val="minor"/>
      </rPr>
      <t>[18]</t>
    </r>
  </si>
  <si>
    <r>
      <t>5</t>
    </r>
    <r>
      <rPr>
        <vertAlign val="superscript"/>
        <sz val="11"/>
        <color theme="1"/>
        <rFont val="Calibri"/>
        <family val="2"/>
        <scheme val="minor"/>
      </rPr>
      <t>[19]</t>
    </r>
  </si>
  <si>
    <r>
      <t>35</t>
    </r>
    <r>
      <rPr>
        <vertAlign val="superscript"/>
        <sz val="11"/>
        <color theme="1"/>
        <rFont val="Calibri"/>
        <family val="2"/>
        <scheme val="minor"/>
      </rPr>
      <t>[19]</t>
    </r>
  </si>
  <si>
    <r>
      <t>23 a 28</t>
    </r>
    <r>
      <rPr>
        <vertAlign val="superscript"/>
        <sz val="11"/>
        <color theme="1"/>
        <rFont val="Calibri"/>
        <family val="2"/>
        <scheme val="minor"/>
      </rPr>
      <t>[19]</t>
    </r>
  </si>
  <si>
    <r>
      <t>500 a 1000</t>
    </r>
    <r>
      <rPr>
        <vertAlign val="superscript"/>
        <sz val="11"/>
        <color theme="1"/>
        <rFont val="Calibri"/>
        <family val="2"/>
        <scheme val="minor"/>
      </rPr>
      <t>[19]</t>
    </r>
  </si>
  <si>
    <r>
      <t>4</t>
    </r>
    <r>
      <rPr>
        <vertAlign val="superscript"/>
        <sz val="11"/>
        <color theme="1"/>
        <rFont val="Calibri"/>
        <family val="2"/>
        <scheme val="minor"/>
      </rPr>
      <t>[19]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</si>
  <si>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[20]</t>
    </r>
  </si>
  <si>
    <r>
      <t>20 a 28</t>
    </r>
    <r>
      <rPr>
        <vertAlign val="superscript"/>
        <sz val="11"/>
        <color theme="1"/>
        <rFont val="Calibri"/>
        <family val="2"/>
        <scheme val="minor"/>
      </rPr>
      <t>[20]</t>
    </r>
  </si>
  <si>
    <r>
      <t>250 a 300</t>
    </r>
    <r>
      <rPr>
        <vertAlign val="superscript"/>
        <sz val="11"/>
        <color theme="1"/>
        <rFont val="Calibri"/>
        <family val="2"/>
        <scheme val="minor"/>
      </rPr>
      <t>[20]</t>
    </r>
  </si>
  <si>
    <r>
      <t>3</t>
    </r>
    <r>
      <rPr>
        <vertAlign val="superscript"/>
        <sz val="11"/>
        <color theme="1"/>
        <rFont val="Calibri"/>
        <family val="2"/>
        <scheme val="minor"/>
      </rPr>
      <t>[20]</t>
    </r>
  </si>
  <si>
    <r>
      <t>15</t>
    </r>
    <r>
      <rPr>
        <vertAlign val="superscript"/>
        <sz val="11"/>
        <color theme="1"/>
        <rFont val="Calibri"/>
        <family val="2"/>
        <scheme val="minor"/>
      </rPr>
      <t>[21]</t>
    </r>
  </si>
  <si>
    <r>
      <t>33</t>
    </r>
    <r>
      <rPr>
        <vertAlign val="superscript"/>
        <sz val="11"/>
        <color theme="1"/>
        <rFont val="Calibri"/>
        <family val="2"/>
        <scheme val="minor"/>
      </rPr>
      <t>[21]</t>
    </r>
  </si>
  <si>
    <r>
      <t>22 a 24</t>
    </r>
    <r>
      <rPr>
        <vertAlign val="superscript"/>
        <sz val="11"/>
        <color theme="1"/>
        <rFont val="Calibri"/>
        <family val="2"/>
        <scheme val="minor"/>
      </rPr>
      <t>[21]</t>
    </r>
  </si>
  <si>
    <r>
      <t>6</t>
    </r>
    <r>
      <rPr>
        <vertAlign val="superscript"/>
        <sz val="11"/>
        <color theme="1"/>
        <rFont val="Calibri"/>
        <family val="2"/>
        <scheme val="minor"/>
      </rPr>
      <t>[21]</t>
    </r>
  </si>
  <si>
    <r>
      <t>2500 a 4000</t>
    </r>
    <r>
      <rPr>
        <vertAlign val="superscript"/>
        <sz val="11"/>
        <color theme="1"/>
        <rFont val="Calibri"/>
        <family val="2"/>
        <scheme val="minor"/>
      </rPr>
      <t>[21]</t>
    </r>
  </si>
  <si>
    <r>
      <t>16</t>
    </r>
    <r>
      <rPr>
        <vertAlign val="superscript"/>
        <sz val="11"/>
        <color theme="1"/>
        <rFont val="Calibri"/>
        <family val="2"/>
        <scheme val="minor"/>
      </rPr>
      <t>[22]</t>
    </r>
  </si>
  <si>
    <r>
      <t>35</t>
    </r>
    <r>
      <rPr>
        <vertAlign val="superscript"/>
        <sz val="11"/>
        <color theme="1"/>
        <rFont val="Calibri"/>
        <family val="2"/>
        <scheme val="minor"/>
      </rPr>
      <t>[22]</t>
    </r>
  </si>
  <si>
    <r>
      <t>26 a 32</t>
    </r>
    <r>
      <rPr>
        <vertAlign val="superscript"/>
        <sz val="11"/>
        <color theme="1"/>
        <rFont val="Calibri"/>
        <family val="2"/>
        <scheme val="minor"/>
      </rPr>
      <t>[22]</t>
    </r>
  </si>
  <si>
    <r>
      <t>650</t>
    </r>
    <r>
      <rPr>
        <vertAlign val="superscript"/>
        <sz val="11"/>
        <color theme="1"/>
        <rFont val="Calibri"/>
        <family val="2"/>
        <scheme val="minor"/>
      </rPr>
      <t>[22]</t>
    </r>
  </si>
  <si>
    <r>
      <t>4</t>
    </r>
    <r>
      <rPr>
        <vertAlign val="superscript"/>
        <sz val="11"/>
        <color theme="1"/>
        <rFont val="Calibri"/>
        <family val="2"/>
        <scheme val="minor"/>
      </rPr>
      <t>[22]</t>
    </r>
  </si>
  <si>
    <r>
      <t>0,506</t>
    </r>
    <r>
      <rPr>
        <vertAlign val="superscript"/>
        <sz val="11"/>
        <color theme="1"/>
        <rFont val="Calibri"/>
        <family val="2"/>
        <scheme val="minor"/>
      </rPr>
      <t>[24]</t>
    </r>
  </si>
  <si>
    <r>
      <t>0,196</t>
    </r>
    <r>
      <rPr>
        <vertAlign val="superscript"/>
        <sz val="11"/>
        <color theme="1"/>
        <rFont val="Calibri"/>
        <family val="2"/>
        <scheme val="minor"/>
      </rPr>
      <t>[24]</t>
    </r>
  </si>
  <si>
    <r>
      <t>6,0</t>
    </r>
    <r>
      <rPr>
        <vertAlign val="superscript"/>
        <sz val="11"/>
        <color theme="1"/>
        <rFont val="Calibri"/>
        <family val="2"/>
        <scheme val="minor"/>
      </rPr>
      <t>[25]</t>
    </r>
  </si>
  <si>
    <r>
      <t>0,49</t>
    </r>
    <r>
      <rPr>
        <vertAlign val="superscript"/>
        <sz val="11"/>
        <color theme="1"/>
        <rFont val="Calibri"/>
        <family val="2"/>
        <scheme val="minor"/>
      </rPr>
      <t>[26]</t>
    </r>
  </si>
  <si>
    <r>
      <t>0,25</t>
    </r>
    <r>
      <rPr>
        <vertAlign val="superscript"/>
        <sz val="11"/>
        <color theme="1"/>
        <rFont val="Calibri"/>
        <family val="2"/>
        <scheme val="minor"/>
      </rPr>
      <t>[26]</t>
    </r>
  </si>
  <si>
    <r>
      <t>0,50</t>
    </r>
    <r>
      <rPr>
        <vertAlign val="superscript"/>
        <sz val="11"/>
        <color theme="1"/>
        <rFont val="Calibri"/>
        <family val="2"/>
        <scheme val="minor"/>
      </rPr>
      <t>[26]</t>
    </r>
  </si>
  <si>
    <r>
      <t>3,0</t>
    </r>
    <r>
      <rPr>
        <vertAlign val="superscript"/>
        <sz val="11"/>
        <color theme="1"/>
        <rFont val="Calibri"/>
        <family val="2"/>
        <scheme val="minor"/>
      </rPr>
      <t>[24]</t>
    </r>
  </si>
  <si>
    <r>
      <t>0,119</t>
    </r>
    <r>
      <rPr>
        <vertAlign val="superscript"/>
        <sz val="11"/>
        <color theme="1"/>
        <rFont val="Calibri"/>
        <family val="2"/>
        <scheme val="minor"/>
      </rPr>
      <t>[27]</t>
    </r>
  </si>
  <si>
    <r>
      <t>0,189</t>
    </r>
    <r>
      <rPr>
        <vertAlign val="superscript"/>
        <sz val="11"/>
        <color theme="1"/>
        <rFont val="Calibri"/>
        <family val="2"/>
        <scheme val="minor"/>
      </rPr>
      <t>[27]</t>
    </r>
  </si>
  <si>
    <r>
      <t>0,0952</t>
    </r>
    <r>
      <rPr>
        <vertAlign val="superscript"/>
        <sz val="11"/>
        <color theme="1"/>
        <rFont val="Calibri"/>
        <family val="2"/>
        <scheme val="minor"/>
      </rPr>
      <t>[27]</t>
    </r>
  </si>
  <si>
    <r>
      <t>9,8</t>
    </r>
    <r>
      <rPr>
        <vertAlign val="superscript"/>
        <sz val="11"/>
        <color theme="1"/>
        <rFont val="Calibri"/>
        <family val="2"/>
        <scheme val="minor"/>
      </rPr>
      <t>[25]</t>
    </r>
  </si>
  <si>
    <r>
      <t>0,61</t>
    </r>
    <r>
      <rPr>
        <vertAlign val="superscript"/>
        <sz val="11"/>
        <color theme="1"/>
        <rFont val="Calibri"/>
        <family val="2"/>
        <scheme val="minor"/>
      </rPr>
      <t>[28]</t>
    </r>
  </si>
  <si>
    <r>
      <t>0,75</t>
    </r>
    <r>
      <rPr>
        <vertAlign val="superscript"/>
        <sz val="11"/>
        <color theme="1"/>
        <rFont val="Calibri"/>
        <family val="2"/>
        <scheme val="minor"/>
      </rPr>
      <t>[27]</t>
    </r>
  </si>
  <si>
    <r>
      <t>0,67</t>
    </r>
    <r>
      <rPr>
        <vertAlign val="superscript"/>
        <sz val="11"/>
        <color theme="1"/>
        <rFont val="Calibri"/>
        <family val="2"/>
        <scheme val="minor"/>
      </rPr>
      <t>[28]</t>
    </r>
  </si>
  <si>
    <t>Custo de mobilidade [M€]</t>
  </si>
  <si>
    <t>Precipitação anual [mm]</t>
  </si>
  <si>
    <t>Biomassa</t>
  </si>
  <si>
    <t>Agricultura</t>
  </si>
  <si>
    <t>Residuos agricolas</t>
  </si>
  <si>
    <t>Residuos alimentares</t>
  </si>
  <si>
    <t>Materiais florestais</t>
  </si>
  <si>
    <t>Residuos de explorações madeireiras, desbastes florestais</t>
  </si>
  <si>
    <t>Tipos de Biomassa</t>
  </si>
  <si>
    <t>Biomassa sólida</t>
  </si>
  <si>
    <t>Subprodutos animais</t>
  </si>
  <si>
    <t>Agrária</t>
  </si>
  <si>
    <t xml:space="preserve">Biogas </t>
  </si>
  <si>
    <t>Culturas energéticas</t>
  </si>
  <si>
    <t>"Switchgrass", miscanto, plátano hibrido, salgueiro, algas</t>
  </si>
  <si>
    <t>Florestal</t>
  </si>
  <si>
    <t>Biocombustiveis liquidos</t>
  </si>
  <si>
    <t>Residuos Urbanos e Suburbanos</t>
  </si>
  <si>
    <t>Industrial e Urbana</t>
  </si>
  <si>
    <t>Tipo de Biomassa</t>
  </si>
  <si>
    <t>Uso</t>
  </si>
  <si>
    <t>Queima para aquecimento de edificios, queima para produção de energia em centrais</t>
  </si>
  <si>
    <t xml:space="preserve">Fezes de animais </t>
  </si>
  <si>
    <t>Conversão em biogas, que pode ser usado como combustivel numa central</t>
  </si>
  <si>
    <t>Industrial e urbano</t>
  </si>
  <si>
    <t>lixo domestico</t>
  </si>
  <si>
    <t>0,3 m3 biogas /kg</t>
  </si>
  <si>
    <t xml:space="preserve">Plantações e seus desperdicios (açucar, milho e trigo) </t>
  </si>
  <si>
    <t>Queima como combustivel ou conversão em biocombustiveis liquidos</t>
  </si>
  <si>
    <t>Lixo doméstico (comida, restos de madeiras…)</t>
  </si>
  <si>
    <t>Queima para geração de energia em centrais</t>
  </si>
  <si>
    <t>Nome comum</t>
  </si>
  <si>
    <t>Nome cientifico</t>
  </si>
  <si>
    <t>PCS [MJ/kg]</t>
  </si>
  <si>
    <t>Obs</t>
  </si>
  <si>
    <t xml:space="preserve">Nome </t>
  </si>
  <si>
    <t>Residuos secos [Kg/ha/ano]</t>
  </si>
  <si>
    <t>densidade energética</t>
  </si>
  <si>
    <t>PCS [kWh/kg]</t>
  </si>
  <si>
    <t>Pinheiro bravo</t>
  </si>
  <si>
    <t>Pinus Pinaster</t>
  </si>
  <si>
    <t>palha de trigo</t>
  </si>
  <si>
    <t>Choupo</t>
  </si>
  <si>
    <t>Populus spp.</t>
  </si>
  <si>
    <t>Produções de 20 a 30 t/ha de matéria seca (precipitação entre 500mm e 600mm anuais).</t>
  </si>
  <si>
    <t>cana de milho</t>
  </si>
  <si>
    <t>Miscanto</t>
  </si>
  <si>
    <t>Miscanthus</t>
  </si>
  <si>
    <t>Estima-se ser necessária uma precipitação entre 500mm e 600mm para se obter produções de 20 a 30 t/ha de matéria seca.</t>
  </si>
  <si>
    <t>cana de girassol</t>
  </si>
  <si>
    <t>Estrume</t>
  </si>
  <si>
    <t>17,445*</t>
  </si>
  <si>
    <t>7500BTU/lb</t>
  </si>
  <si>
    <t>*com rotação de 20 anos</t>
  </si>
  <si>
    <t>*fezes secas</t>
  </si>
  <si>
    <t>Cana de açúcar ,milho, trigo, beterraba sacarina, batata doce…</t>
  </si>
  <si>
    <t>Palha de milho, palha de trigo, palha de arroz</t>
  </si>
  <si>
    <t>Sebo, óleo de peixe, estrume</t>
  </si>
  <si>
    <t>Resíduos sólidos urbanos, restos de relva, resíduos de madeira urbanos, restos de óleo de cozinha</t>
  </si>
  <si>
    <t>Madeira e desperdicios de indústria madeireira</t>
  </si>
  <si>
    <t>Produtividade [kg/ha/ano]</t>
  </si>
  <si>
    <t>PCS [kJ/kg]</t>
  </si>
  <si>
    <t>Densidade energética [kWh/m2/ano]</t>
  </si>
  <si>
    <t>Densidade energética [kWh/ha/ano]</t>
  </si>
  <si>
    <t>Eucalipto</t>
  </si>
  <si>
    <t>Pinheiro Bravo</t>
  </si>
  <si>
    <r>
      <t>Custo de instalação, manutenção, colheita e processamento [</t>
    </r>
    <r>
      <rPr>
        <b/>
        <sz val="11"/>
        <color theme="1"/>
        <rFont val="Calibri"/>
        <family val="2"/>
      </rPr>
      <t>€/kg]</t>
    </r>
  </si>
  <si>
    <t>Custo cultivo [€/kWh]</t>
  </si>
  <si>
    <t>Custo de transporte [€/kWh]</t>
  </si>
  <si>
    <t>Custo final da eletricidade [€/kWh]</t>
  </si>
  <si>
    <t>Custo Central: Investimento + operação [€/kWh]</t>
  </si>
  <si>
    <t>Investimento</t>
  </si>
  <si>
    <t>50M</t>
  </si>
  <si>
    <t>Custo operaçao</t>
  </si>
  <si>
    <t>0,5 [€/kWh]</t>
  </si>
  <si>
    <t>Capacidade</t>
  </si>
  <si>
    <t>15MW</t>
  </si>
  <si>
    <t>MWh/ano</t>
  </si>
  <si>
    <t>kWh/ano</t>
  </si>
  <si>
    <t>rendimento</t>
  </si>
  <si>
    <t>Extensão necessária para forcener a central de 15MW [ha]</t>
  </si>
  <si>
    <t>Percentagem ocupada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</si>
</sst>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_-* #,##0.00\ _€_-;\-* #,##0.00\ _€_-;_-* &quot;-&quot;??\ _€_-;_-@_-"/>
    <numFmt numFmtId="168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666666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0" xfId="1" applyAlignment="1">
      <alignment vertic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textRotation="90" wrapText="1"/>
    </xf>
    <xf numFmtId="0" fontId="1" fillId="7" borderId="39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textRotation="90" wrapText="1"/>
    </xf>
    <xf numFmtId="0" fontId="1" fillId="7" borderId="4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 textRotation="90" wrapText="1"/>
    </xf>
    <xf numFmtId="0" fontId="1" fillId="7" borderId="34" xfId="0" applyFont="1" applyFill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43" fontId="0" fillId="0" borderId="14" xfId="2" applyFont="1" applyBorder="1" applyAlignment="1">
      <alignment horizontal="center" vertical="center"/>
    </xf>
    <xf numFmtId="43" fontId="0" fillId="0" borderId="15" xfId="2" applyFont="1" applyBorder="1" applyAlignment="1">
      <alignment horizontal="center" vertical="center"/>
    </xf>
    <xf numFmtId="43" fontId="0" fillId="0" borderId="17" xfId="2" applyFont="1" applyBorder="1" applyAlignment="1">
      <alignment horizontal="center" vertical="center"/>
    </xf>
    <xf numFmtId="43" fontId="0" fillId="0" borderId="29" xfId="2" applyFont="1" applyBorder="1" applyAlignment="1">
      <alignment horizontal="center" vertical="center"/>
    </xf>
    <xf numFmtId="43" fontId="0" fillId="0" borderId="38" xfId="2" applyFont="1" applyBorder="1" applyAlignment="1">
      <alignment horizontal="center" vertical="center"/>
    </xf>
    <xf numFmtId="43" fontId="0" fillId="0" borderId="18" xfId="2" applyFont="1" applyBorder="1" applyAlignment="1">
      <alignment horizontal="center" vertical="center"/>
    </xf>
    <xf numFmtId="43" fontId="0" fillId="0" borderId="40" xfId="2" applyFont="1" applyBorder="1" applyAlignment="1">
      <alignment horizontal="center" vertical="center"/>
    </xf>
    <xf numFmtId="43" fontId="0" fillId="0" borderId="20" xfId="2" applyFont="1" applyBorder="1" applyAlignment="1">
      <alignment horizontal="center" vertical="center"/>
    </xf>
    <xf numFmtId="43" fontId="0" fillId="0" borderId="21" xfId="2" applyFont="1" applyBorder="1" applyAlignment="1">
      <alignment horizontal="center" vertical="center"/>
    </xf>
    <xf numFmtId="43" fontId="0" fillId="0" borderId="42" xfId="2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3" fontId="0" fillId="0" borderId="52" xfId="2" applyFont="1" applyBorder="1" applyAlignment="1">
      <alignment horizontal="center" vertical="center"/>
    </xf>
    <xf numFmtId="43" fontId="0" fillId="0" borderId="16" xfId="2" applyFont="1" applyBorder="1" applyAlignment="1">
      <alignment horizontal="center" vertical="center"/>
    </xf>
    <xf numFmtId="43" fontId="0" fillId="0" borderId="19" xfId="2" applyFont="1" applyBorder="1" applyAlignment="1">
      <alignment horizontal="center" vertical="center"/>
    </xf>
    <xf numFmtId="43" fontId="0" fillId="0" borderId="22" xfId="2" applyFont="1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8" fontId="0" fillId="0" borderId="21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7" fontId="0" fillId="0" borderId="53" xfId="0" applyNumberFormat="1" applyBorder="1" applyAlignment="1">
      <alignment horizontal="center" vertical="center"/>
    </xf>
    <xf numFmtId="9" fontId="0" fillId="0" borderId="32" xfId="3" applyFont="1" applyBorder="1" applyAlignment="1">
      <alignment horizontal="center" vertical="center"/>
    </xf>
    <xf numFmtId="167" fontId="0" fillId="0" borderId="34" xfId="0" applyNumberFormat="1" applyBorder="1" applyAlignment="1">
      <alignment horizontal="center" vertical="center"/>
    </xf>
    <xf numFmtId="9" fontId="0" fillId="0" borderId="34" xfId="3" applyFont="1" applyBorder="1" applyAlignment="1">
      <alignment horizontal="center" vertical="center"/>
    </xf>
    <xf numFmtId="167" fontId="0" fillId="0" borderId="36" xfId="0" applyNumberFormat="1" applyBorder="1" applyAlignment="1">
      <alignment horizontal="center" vertical="center"/>
    </xf>
    <xf numFmtId="9" fontId="0" fillId="0" borderId="36" xfId="3" applyFont="1" applyBorder="1" applyAlignment="1">
      <alignment horizontal="center" vertical="center"/>
    </xf>
  </cellXfs>
  <cellStyles count="4">
    <cellStyle name="Hiperligação" xfId="1" builtinId="8"/>
    <cellStyle name="Normal" xfId="0" builtinId="0"/>
    <cellStyle name="Percentagem" xfId="3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C88D-FE82-4F22-8E06-282F384E1987}">
  <dimension ref="A1:L57"/>
  <sheetViews>
    <sheetView workbookViewId="0">
      <selection activeCell="B36" sqref="B36"/>
    </sheetView>
  </sheetViews>
  <sheetFormatPr defaultRowHeight="15" x14ac:dyDescent="0.25"/>
  <cols>
    <col min="1" max="1" width="20.7109375" style="1" customWidth="1"/>
    <col min="2" max="2" width="33.28515625" style="1" customWidth="1"/>
    <col min="3" max="3" width="10" style="1" customWidth="1"/>
    <col min="4" max="4" width="12.28515625" style="1" customWidth="1"/>
    <col min="5" max="5" width="9" style="1" customWidth="1"/>
    <col min="6" max="6" width="10.140625" style="1" customWidth="1"/>
    <col min="7" max="7" width="9.140625" style="1" customWidth="1"/>
    <col min="8" max="8" width="10.85546875" style="1" customWidth="1"/>
    <col min="9" max="9" width="12" style="1" customWidth="1"/>
    <col min="10" max="10" width="11.5703125" style="1" customWidth="1"/>
    <col min="11" max="11" width="13.140625" style="1" customWidth="1"/>
    <col min="12" max="12" width="9.42578125" style="1" customWidth="1"/>
    <col min="13" max="16384" width="9.140625" style="1"/>
  </cols>
  <sheetData>
    <row r="1" spans="2:12" ht="15.75" thickBot="1" x14ac:dyDescent="0.3">
      <c r="B1" s="67" t="s">
        <v>0</v>
      </c>
      <c r="C1" s="68"/>
      <c r="E1" s="65" t="s">
        <v>10</v>
      </c>
      <c r="F1" s="66"/>
    </row>
    <row r="2" spans="2:12" x14ac:dyDescent="0.25">
      <c r="B2" s="2" t="s">
        <v>1</v>
      </c>
      <c r="C2" s="3">
        <v>50000</v>
      </c>
      <c r="E2" s="31" t="s">
        <v>28</v>
      </c>
      <c r="F2" s="32">
        <v>14.462955793739562</v>
      </c>
    </row>
    <row r="3" spans="2:12" x14ac:dyDescent="0.25">
      <c r="B3" s="2" t="s">
        <v>2</v>
      </c>
      <c r="C3" s="3">
        <v>0.5</v>
      </c>
      <c r="E3" s="31" t="s">
        <v>27</v>
      </c>
      <c r="F3" s="32">
        <v>2.2000000000000002</v>
      </c>
    </row>
    <row r="4" spans="2:12" ht="15.75" thickBot="1" x14ac:dyDescent="0.3">
      <c r="B4" s="2" t="s">
        <v>3</v>
      </c>
      <c r="C4" s="3">
        <f>C2*C3</f>
        <v>25000</v>
      </c>
      <c r="E4" s="33" t="s">
        <v>29</v>
      </c>
      <c r="F4" s="34">
        <v>31.8</v>
      </c>
    </row>
    <row r="5" spans="2:12" ht="15.75" thickBot="1" x14ac:dyDescent="0.3">
      <c r="B5" s="2" t="s">
        <v>6</v>
      </c>
      <c r="C5" s="3">
        <f>C2/2.5</f>
        <v>20000</v>
      </c>
      <c r="E5" s="35"/>
      <c r="F5" s="35"/>
    </row>
    <row r="6" spans="2:12" ht="15.75" thickBot="1" x14ac:dyDescent="0.3">
      <c r="B6" s="2" t="s">
        <v>4</v>
      </c>
      <c r="C6" s="3">
        <f>C2/100</f>
        <v>500</v>
      </c>
      <c r="E6" s="65" t="s">
        <v>36</v>
      </c>
      <c r="F6" s="66"/>
    </row>
    <row r="7" spans="2:12" ht="15.75" thickBot="1" x14ac:dyDescent="0.3">
      <c r="B7" s="4" t="s">
        <v>5</v>
      </c>
      <c r="C7" s="5">
        <f>C6*100</f>
        <v>50000</v>
      </c>
      <c r="E7" s="33" t="s">
        <v>37</v>
      </c>
      <c r="F7" s="36">
        <v>1465.9262999999999</v>
      </c>
    </row>
    <row r="8" spans="2:12" ht="15.75" thickBot="1" x14ac:dyDescent="0.3"/>
    <row r="9" spans="2:12" x14ac:dyDescent="0.25">
      <c r="B9" s="59" t="s">
        <v>7</v>
      </c>
      <c r="C9" s="59" t="s">
        <v>16</v>
      </c>
      <c r="D9" s="60"/>
      <c r="E9" s="60"/>
      <c r="F9" s="60"/>
      <c r="G9" s="61"/>
      <c r="H9" s="59" t="s">
        <v>17</v>
      </c>
      <c r="I9" s="60"/>
      <c r="J9" s="60"/>
      <c r="K9" s="60"/>
      <c r="L9" s="61"/>
    </row>
    <row r="10" spans="2:12" ht="15.75" thickBot="1" x14ac:dyDescent="0.3">
      <c r="B10" s="69"/>
      <c r="C10" s="37" t="s">
        <v>8</v>
      </c>
      <c r="D10" s="38" t="s">
        <v>12</v>
      </c>
      <c r="E10" s="38" t="s">
        <v>15</v>
      </c>
      <c r="F10" s="38" t="s">
        <v>13</v>
      </c>
      <c r="G10" s="39" t="s">
        <v>14</v>
      </c>
      <c r="H10" s="37" t="s">
        <v>18</v>
      </c>
      <c r="I10" s="38" t="s">
        <v>22</v>
      </c>
      <c r="J10" s="38" t="s">
        <v>21</v>
      </c>
      <c r="K10" s="38" t="s">
        <v>20</v>
      </c>
      <c r="L10" s="39" t="s">
        <v>19</v>
      </c>
    </row>
    <row r="11" spans="2:12" ht="17.25" x14ac:dyDescent="0.25">
      <c r="B11" s="15" t="s">
        <v>23</v>
      </c>
      <c r="C11" s="10" t="s">
        <v>50</v>
      </c>
      <c r="D11" s="7" t="s">
        <v>55</v>
      </c>
      <c r="E11" s="1" t="s">
        <v>39</v>
      </c>
      <c r="F11" s="1" t="s">
        <v>63</v>
      </c>
      <c r="G11" s="3" t="s">
        <v>68</v>
      </c>
      <c r="H11" s="16" t="s">
        <v>72</v>
      </c>
      <c r="I11" s="11" t="s">
        <v>77</v>
      </c>
      <c r="J11" s="11" t="s">
        <v>82</v>
      </c>
      <c r="K11" s="12" t="s">
        <v>86</v>
      </c>
      <c r="L11" s="22" t="s">
        <v>91</v>
      </c>
    </row>
    <row r="12" spans="2:12" ht="17.25" x14ac:dyDescent="0.25">
      <c r="B12" s="2" t="s">
        <v>24</v>
      </c>
      <c r="C12" s="6" t="s">
        <v>51</v>
      </c>
      <c r="D12" s="1" t="s">
        <v>38</v>
      </c>
      <c r="E12" s="1" t="s">
        <v>59</v>
      </c>
      <c r="F12" s="1" t="s">
        <v>64</v>
      </c>
      <c r="G12" s="3" t="s">
        <v>69</v>
      </c>
      <c r="H12" s="6" t="s">
        <v>73</v>
      </c>
      <c r="I12" s="1" t="s">
        <v>78</v>
      </c>
      <c r="J12" s="1" t="s">
        <v>40</v>
      </c>
      <c r="K12" s="1" t="s">
        <v>87</v>
      </c>
      <c r="L12" s="3" t="s">
        <v>92</v>
      </c>
    </row>
    <row r="13" spans="2:12" ht="17.25" x14ac:dyDescent="0.25">
      <c r="B13" s="2" t="s">
        <v>9</v>
      </c>
      <c r="C13" s="6" t="s">
        <v>52</v>
      </c>
      <c r="D13" s="1" t="s">
        <v>56</v>
      </c>
      <c r="E13" s="1" t="s">
        <v>60</v>
      </c>
      <c r="F13" s="1" t="s">
        <v>65</v>
      </c>
      <c r="G13" s="3" t="s">
        <v>70</v>
      </c>
      <c r="H13" s="6" t="s">
        <v>74</v>
      </c>
      <c r="I13" s="1" t="s">
        <v>79</v>
      </c>
      <c r="J13" s="1" t="s">
        <v>83</v>
      </c>
      <c r="K13" s="1" t="s">
        <v>88</v>
      </c>
      <c r="L13" s="3" t="s">
        <v>93</v>
      </c>
    </row>
    <row r="14" spans="2:12" ht="17.25" x14ac:dyDescent="0.25">
      <c r="B14" s="2" t="s">
        <v>11</v>
      </c>
      <c r="C14" s="19" t="s">
        <v>53</v>
      </c>
      <c r="D14" s="20" t="s">
        <v>57</v>
      </c>
      <c r="E14" s="17" t="s">
        <v>61</v>
      </c>
      <c r="F14" s="1" t="s">
        <v>66</v>
      </c>
      <c r="G14" s="3" t="s">
        <v>71</v>
      </c>
      <c r="H14" s="6" t="s">
        <v>75</v>
      </c>
      <c r="I14" s="1" t="s">
        <v>80</v>
      </c>
      <c r="J14" s="1" t="s">
        <v>84</v>
      </c>
      <c r="K14" s="17" t="s">
        <v>90</v>
      </c>
      <c r="L14" s="3" t="s">
        <v>94</v>
      </c>
    </row>
    <row r="15" spans="2:12" ht="17.25" x14ac:dyDescent="0.25">
      <c r="B15" s="2" t="s">
        <v>25</v>
      </c>
      <c r="C15" s="19" t="s">
        <v>54</v>
      </c>
      <c r="D15" s="21" t="s">
        <v>58</v>
      </c>
      <c r="E15" s="1" t="s">
        <v>62</v>
      </c>
      <c r="F15" s="1" t="s">
        <v>67</v>
      </c>
      <c r="G15" s="3" t="s">
        <v>67</v>
      </c>
      <c r="H15" s="6" t="s">
        <v>76</v>
      </c>
      <c r="I15" s="1" t="s">
        <v>81</v>
      </c>
      <c r="J15" s="1" t="s">
        <v>85</v>
      </c>
      <c r="K15" s="1" t="s">
        <v>89</v>
      </c>
      <c r="L15" s="3" t="s">
        <v>95</v>
      </c>
    </row>
    <row r="16" spans="2:12" ht="15.75" thickBot="1" x14ac:dyDescent="0.3">
      <c r="B16" s="4" t="s">
        <v>26</v>
      </c>
      <c r="C16" s="8" t="s">
        <v>31</v>
      </c>
      <c r="D16" s="9" t="s">
        <v>32</v>
      </c>
      <c r="E16" s="9" t="s">
        <v>30</v>
      </c>
      <c r="F16" s="9" t="s">
        <v>31</v>
      </c>
      <c r="G16" s="5" t="s">
        <v>31</v>
      </c>
      <c r="H16" s="8" t="s">
        <v>31</v>
      </c>
      <c r="I16" s="9" t="s">
        <v>31</v>
      </c>
      <c r="J16" s="9" t="s">
        <v>31</v>
      </c>
      <c r="K16" s="9" t="s">
        <v>30</v>
      </c>
      <c r="L16" s="5" t="s">
        <v>30</v>
      </c>
    </row>
    <row r="17" spans="1:12" ht="15.75" thickBot="1" x14ac:dyDescent="0.3"/>
    <row r="18" spans="1:12" x14ac:dyDescent="0.25">
      <c r="A18" s="40"/>
      <c r="B18" s="57" t="s">
        <v>7</v>
      </c>
      <c r="C18" s="59" t="s">
        <v>16</v>
      </c>
      <c r="D18" s="60"/>
      <c r="E18" s="61"/>
      <c r="F18" s="59" t="s">
        <v>17</v>
      </c>
      <c r="G18" s="60"/>
      <c r="H18" s="61"/>
      <c r="I18" s="14"/>
      <c r="J18" s="14"/>
      <c r="K18" s="14"/>
      <c r="L18" s="14"/>
    </row>
    <row r="19" spans="1:12" ht="15.75" thickBot="1" x14ac:dyDescent="0.3">
      <c r="A19" s="41"/>
      <c r="B19" s="58"/>
      <c r="C19" s="37" t="s">
        <v>8</v>
      </c>
      <c r="D19" s="38" t="s">
        <v>13</v>
      </c>
      <c r="E19" s="39" t="s">
        <v>14</v>
      </c>
      <c r="F19" s="37" t="s">
        <v>18</v>
      </c>
      <c r="G19" s="38" t="s">
        <v>21</v>
      </c>
      <c r="H19" s="39" t="s">
        <v>22</v>
      </c>
    </row>
    <row r="20" spans="1:12" ht="17.25" x14ac:dyDescent="0.25">
      <c r="A20" s="15" t="s">
        <v>33</v>
      </c>
      <c r="B20" s="42" t="s">
        <v>45</v>
      </c>
      <c r="C20" s="16" t="s">
        <v>96</v>
      </c>
      <c r="D20" s="11" t="s">
        <v>97</v>
      </c>
      <c r="E20" s="28" t="s">
        <v>41</v>
      </c>
      <c r="F20" s="16" t="s">
        <v>103</v>
      </c>
      <c r="G20" s="11" t="s">
        <v>104</v>
      </c>
      <c r="H20" s="28" t="s">
        <v>105</v>
      </c>
    </row>
    <row r="21" spans="1:12" ht="17.25" x14ac:dyDescent="0.25">
      <c r="A21" s="55" t="s">
        <v>35</v>
      </c>
      <c r="B21" s="43" t="s">
        <v>46</v>
      </c>
      <c r="C21" s="62" t="s">
        <v>98</v>
      </c>
      <c r="D21" s="63"/>
      <c r="E21" s="64"/>
      <c r="F21" s="62" t="s">
        <v>106</v>
      </c>
      <c r="G21" s="63"/>
      <c r="H21" s="64"/>
    </row>
    <row r="22" spans="1:12" ht="17.25" x14ac:dyDescent="0.25">
      <c r="A22" s="55"/>
      <c r="B22" s="43" t="s">
        <v>47</v>
      </c>
      <c r="C22" s="46">
        <f>0.506*6</f>
        <v>3.036</v>
      </c>
      <c r="D22" s="26">
        <f>0.196*6</f>
        <v>1.1760000000000002</v>
      </c>
      <c r="E22" s="27">
        <f>0.0952*6</f>
        <v>0.57120000000000004</v>
      </c>
      <c r="F22" s="25">
        <f>0.119*9.8</f>
        <v>1.1662000000000001</v>
      </c>
      <c r="G22" s="48">
        <f>0.189*9.8</f>
        <v>1.8522000000000001</v>
      </c>
      <c r="H22" s="24">
        <f>0.0952*9.8</f>
        <v>0.93296000000000012</v>
      </c>
    </row>
    <row r="23" spans="1:12" ht="17.25" x14ac:dyDescent="0.25">
      <c r="A23" s="55" t="s">
        <v>34</v>
      </c>
      <c r="B23" s="43" t="s">
        <v>48</v>
      </c>
      <c r="C23" s="10" t="s">
        <v>99</v>
      </c>
      <c r="D23" s="7" t="s">
        <v>100</v>
      </c>
      <c r="E23" s="23" t="s">
        <v>101</v>
      </c>
      <c r="F23" s="10" t="s">
        <v>107</v>
      </c>
      <c r="G23" s="7" t="s">
        <v>108</v>
      </c>
      <c r="H23" s="23" t="s">
        <v>109</v>
      </c>
    </row>
    <row r="24" spans="1:12" x14ac:dyDescent="0.25">
      <c r="A24" s="55"/>
      <c r="B24" s="43" t="s">
        <v>49</v>
      </c>
      <c r="C24" s="25">
        <f>0.49/6</f>
        <v>8.1666666666666665E-2</v>
      </c>
      <c r="D24" s="47">
        <f>0.25/6</f>
        <v>4.1666666666666664E-2</v>
      </c>
      <c r="E24" s="27">
        <f>0.5/6</f>
        <v>8.3333333333333329E-2</v>
      </c>
      <c r="F24" s="49">
        <f>0.61/9.8</f>
        <v>6.224489795918367E-2</v>
      </c>
      <c r="G24" s="26">
        <f>0.75/9.8</f>
        <v>7.6530612244897947E-2</v>
      </c>
      <c r="H24" s="27">
        <f>0.67/9.8</f>
        <v>6.8367346938775511E-2</v>
      </c>
    </row>
    <row r="25" spans="1:12" ht="17.25" x14ac:dyDescent="0.25">
      <c r="A25" s="55" t="s">
        <v>42</v>
      </c>
      <c r="B25" s="43" t="s">
        <v>43</v>
      </c>
      <c r="C25" s="52" t="s">
        <v>102</v>
      </c>
      <c r="D25" s="53"/>
      <c r="E25" s="54"/>
      <c r="F25" s="52" t="s">
        <v>102</v>
      </c>
      <c r="G25" s="53"/>
      <c r="H25" s="54"/>
    </row>
    <row r="26" spans="1:12" ht="17.25" x14ac:dyDescent="0.25">
      <c r="A26" s="55"/>
      <c r="B26" s="43" t="s">
        <v>44</v>
      </c>
      <c r="C26" s="46">
        <f>(1/C22*1/C24*3*0.49)/100*25000*10000*0.000001</f>
        <v>14.822134387351777</v>
      </c>
      <c r="D26" s="26">
        <f t="shared" ref="D26:H26" si="0">(1/D22*1/D24*3*0.49)/100*25000*10000*0.000001</f>
        <v>75</v>
      </c>
      <c r="E26" s="27">
        <f t="shared" si="0"/>
        <v>77.205882352941188</v>
      </c>
      <c r="F26" s="25">
        <f t="shared" si="0"/>
        <v>50.626808100289288</v>
      </c>
      <c r="G26" s="48">
        <f t="shared" si="0"/>
        <v>25.925925925925927</v>
      </c>
      <c r="H26" s="27">
        <f t="shared" si="0"/>
        <v>57.616330114135195</v>
      </c>
    </row>
    <row r="27" spans="1:12" ht="15.75" thickBot="1" x14ac:dyDescent="0.3">
      <c r="A27" s="56"/>
      <c r="B27" s="44" t="s">
        <v>110</v>
      </c>
      <c r="C27" s="8">
        <f t="shared" ref="C27:H27" si="1">C26*C22*C24</f>
        <v>3.6749999999999998</v>
      </c>
      <c r="D27" s="9">
        <f t="shared" si="1"/>
        <v>3.6750000000000007</v>
      </c>
      <c r="E27" s="5">
        <f t="shared" si="1"/>
        <v>3.6750000000000007</v>
      </c>
      <c r="F27" s="8">
        <f t="shared" si="1"/>
        <v>3.6749999999999998</v>
      </c>
      <c r="G27" s="9">
        <f t="shared" si="1"/>
        <v>3.6749999999999998</v>
      </c>
      <c r="H27" s="5">
        <f t="shared" si="1"/>
        <v>3.6749999999999998</v>
      </c>
    </row>
    <row r="28" spans="1:12" x14ac:dyDescent="0.25">
      <c r="A28" s="13"/>
      <c r="B28" s="13"/>
    </row>
    <row r="29" spans="1:12" x14ac:dyDescent="0.25">
      <c r="A29" s="13"/>
      <c r="B29" s="13"/>
    </row>
    <row r="30" spans="1:12" x14ac:dyDescent="0.25">
      <c r="A30" s="13"/>
      <c r="B30" s="13"/>
    </row>
    <row r="32" spans="1:12" x14ac:dyDescent="0.2">
      <c r="B32" s="29"/>
    </row>
    <row r="33" spans="2:2" x14ac:dyDescent="0.25">
      <c r="B33" s="18"/>
    </row>
    <row r="34" spans="2:2" x14ac:dyDescent="0.25">
      <c r="B34" s="45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  <row r="38" spans="2:2" x14ac:dyDescent="0.25">
      <c r="B38" s="18"/>
    </row>
    <row r="39" spans="2:2" x14ac:dyDescent="0.25">
      <c r="B39" s="18"/>
    </row>
    <row r="40" spans="2:2" x14ac:dyDescent="0.25">
      <c r="B40" s="45"/>
    </row>
    <row r="41" spans="2:2" x14ac:dyDescent="0.25">
      <c r="B41" s="18"/>
    </row>
    <row r="42" spans="2:2" x14ac:dyDescent="0.25">
      <c r="B42" s="18"/>
    </row>
    <row r="43" spans="2:2" x14ac:dyDescent="0.25">
      <c r="B43" s="18"/>
    </row>
    <row r="44" spans="2:2" x14ac:dyDescent="0.25">
      <c r="B44" s="45"/>
    </row>
    <row r="45" spans="2:2" x14ac:dyDescent="0.25">
      <c r="B45" s="18"/>
    </row>
    <row r="46" spans="2:2" x14ac:dyDescent="0.2">
      <c r="B46" s="29"/>
    </row>
    <row r="47" spans="2:2" x14ac:dyDescent="0.25">
      <c r="B47" s="18"/>
    </row>
    <row r="48" spans="2:2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">
      <c r="B51" s="29"/>
    </row>
    <row r="52" spans="2:2" x14ac:dyDescent="0.25">
      <c r="B52" s="18"/>
    </row>
    <row r="53" spans="2:2" x14ac:dyDescent="0.25">
      <c r="B53" s="30"/>
    </row>
    <row r="54" spans="2:2" x14ac:dyDescent="0.25">
      <c r="B54" s="18"/>
    </row>
    <row r="55" spans="2:2" x14ac:dyDescent="0.25">
      <c r="B55" s="30"/>
    </row>
    <row r="56" spans="2:2" x14ac:dyDescent="0.25">
      <c r="B56" s="30"/>
    </row>
    <row r="57" spans="2:2" ht="14.25" customHeight="1" x14ac:dyDescent="0.25"/>
  </sheetData>
  <mergeCells count="16">
    <mergeCell ref="H9:L9"/>
    <mergeCell ref="E6:F6"/>
    <mergeCell ref="B1:C1"/>
    <mergeCell ref="B9:B10"/>
    <mergeCell ref="C9:G9"/>
    <mergeCell ref="E1:F1"/>
    <mergeCell ref="C25:E25"/>
    <mergeCell ref="F25:H25"/>
    <mergeCell ref="A25:A27"/>
    <mergeCell ref="B18:B19"/>
    <mergeCell ref="A23:A24"/>
    <mergeCell ref="F18:H18"/>
    <mergeCell ref="C18:E18"/>
    <mergeCell ref="A21:A22"/>
    <mergeCell ref="C21:E21"/>
    <mergeCell ref="F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4B2C-C5ED-487A-9C31-81DB329329AA}">
  <dimension ref="A1:S35"/>
  <sheetViews>
    <sheetView tabSelected="1" workbookViewId="0"/>
  </sheetViews>
  <sheetFormatPr defaultRowHeight="15" x14ac:dyDescent="0.25"/>
  <cols>
    <col min="1" max="1" width="6.7109375" style="1" customWidth="1"/>
    <col min="2" max="6" width="10.7109375" style="1" customWidth="1"/>
    <col min="7" max="7" width="11.85546875" style="1" customWidth="1"/>
    <col min="8" max="10" width="10.7109375" style="1" customWidth="1"/>
    <col min="11" max="11" width="14.42578125" style="1" customWidth="1"/>
    <col min="12" max="12" width="10.7109375" style="1" customWidth="1"/>
    <col min="13" max="13" width="25.7109375" style="1" customWidth="1"/>
    <col min="14" max="14" width="20.42578125" style="1" bestFit="1" customWidth="1"/>
    <col min="15" max="15" width="16.140625" style="1" customWidth="1"/>
    <col min="16" max="17" width="15.5703125" style="1" customWidth="1"/>
    <col min="18" max="16384" width="9.140625" style="1"/>
  </cols>
  <sheetData>
    <row r="1" spans="2:19" ht="15.75" thickBot="1" x14ac:dyDescent="0.3"/>
    <row r="2" spans="2:19" ht="15.75" thickBot="1" x14ac:dyDescent="0.3">
      <c r="C2" s="67" t="s">
        <v>10</v>
      </c>
      <c r="D2" s="68"/>
      <c r="F2" s="67" t="s">
        <v>111</v>
      </c>
      <c r="G2" s="68"/>
      <c r="I2" s="72" t="s">
        <v>112</v>
      </c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2:19" ht="15.75" thickBot="1" x14ac:dyDescent="0.3">
      <c r="C3" s="2" t="s">
        <v>28</v>
      </c>
      <c r="D3" s="51">
        <v>14.462955793739562</v>
      </c>
      <c r="F3" s="4" t="s">
        <v>28</v>
      </c>
      <c r="G3" s="70">
        <v>1465.9262999999999</v>
      </c>
      <c r="I3" s="102" t="s">
        <v>113</v>
      </c>
      <c r="J3" s="103"/>
      <c r="K3" s="103"/>
      <c r="L3" s="76" t="s">
        <v>165</v>
      </c>
      <c r="M3" s="76"/>
      <c r="N3" s="76"/>
      <c r="O3" s="76"/>
      <c r="P3" s="76"/>
      <c r="Q3" s="76"/>
      <c r="R3" s="76"/>
      <c r="S3" s="77"/>
    </row>
    <row r="4" spans="2:19" x14ac:dyDescent="0.25">
      <c r="C4" s="2" t="s">
        <v>27</v>
      </c>
      <c r="D4" s="51">
        <v>2.2000000000000002</v>
      </c>
      <c r="I4" s="102" t="s">
        <v>114</v>
      </c>
      <c r="J4" s="103"/>
      <c r="K4" s="103"/>
      <c r="L4" s="76" t="s">
        <v>166</v>
      </c>
      <c r="M4" s="76"/>
      <c r="N4" s="76"/>
      <c r="O4" s="76"/>
      <c r="P4" s="76"/>
      <c r="Q4" s="76"/>
      <c r="R4" s="76"/>
      <c r="S4" s="77"/>
    </row>
    <row r="5" spans="2:19" ht="15.75" thickBot="1" x14ac:dyDescent="0.3">
      <c r="C5" s="4" t="s">
        <v>29</v>
      </c>
      <c r="D5" s="71">
        <v>31.8</v>
      </c>
      <c r="I5" s="102" t="s">
        <v>115</v>
      </c>
      <c r="J5" s="103"/>
      <c r="K5" s="103"/>
      <c r="L5" s="76"/>
      <c r="M5" s="76"/>
      <c r="N5" s="76"/>
      <c r="O5" s="76"/>
      <c r="P5" s="76"/>
      <c r="Q5" s="76"/>
      <c r="R5" s="76"/>
      <c r="S5" s="77"/>
    </row>
    <row r="6" spans="2:19" ht="15.75" thickBot="1" x14ac:dyDescent="0.3">
      <c r="I6" s="102" t="s">
        <v>116</v>
      </c>
      <c r="J6" s="103"/>
      <c r="K6" s="103"/>
      <c r="L6" s="76" t="s">
        <v>117</v>
      </c>
      <c r="M6" s="76"/>
      <c r="N6" s="76"/>
      <c r="O6" s="76"/>
      <c r="P6" s="76"/>
      <c r="Q6" s="76"/>
      <c r="R6" s="76"/>
      <c r="S6" s="77"/>
    </row>
    <row r="7" spans="2:19" x14ac:dyDescent="0.25">
      <c r="B7" s="72" t="s">
        <v>118</v>
      </c>
      <c r="C7" s="73"/>
      <c r="D7" s="74"/>
      <c r="F7" s="130" t="s">
        <v>119</v>
      </c>
      <c r="G7" s="131"/>
      <c r="I7" s="102" t="s">
        <v>120</v>
      </c>
      <c r="J7" s="103"/>
      <c r="K7" s="103"/>
      <c r="L7" s="76" t="s">
        <v>167</v>
      </c>
      <c r="M7" s="76"/>
      <c r="N7" s="76"/>
      <c r="O7" s="76"/>
      <c r="P7" s="76"/>
      <c r="Q7" s="76"/>
      <c r="R7" s="76"/>
      <c r="S7" s="77"/>
    </row>
    <row r="8" spans="2:19" x14ac:dyDescent="0.25">
      <c r="B8" s="75" t="s">
        <v>121</v>
      </c>
      <c r="C8" s="76"/>
      <c r="D8" s="77"/>
      <c r="F8" s="75" t="s">
        <v>122</v>
      </c>
      <c r="G8" s="77"/>
      <c r="I8" s="102" t="s">
        <v>123</v>
      </c>
      <c r="J8" s="103"/>
      <c r="K8" s="103"/>
      <c r="L8" s="76" t="s">
        <v>124</v>
      </c>
      <c r="M8" s="76"/>
      <c r="N8" s="76"/>
      <c r="O8" s="76"/>
      <c r="P8" s="76"/>
      <c r="Q8" s="76"/>
      <c r="R8" s="76"/>
      <c r="S8" s="77"/>
    </row>
    <row r="9" spans="2:19" ht="15.75" thickBot="1" x14ac:dyDescent="0.3">
      <c r="B9" s="75" t="s">
        <v>125</v>
      </c>
      <c r="C9" s="76"/>
      <c r="D9" s="77"/>
      <c r="F9" s="78" t="s">
        <v>126</v>
      </c>
      <c r="G9" s="80"/>
      <c r="I9" s="104" t="s">
        <v>127</v>
      </c>
      <c r="J9" s="105"/>
      <c r="K9" s="105"/>
      <c r="L9" s="79" t="s">
        <v>168</v>
      </c>
      <c r="M9" s="79"/>
      <c r="N9" s="79"/>
      <c r="O9" s="79"/>
      <c r="P9" s="79"/>
      <c r="Q9" s="79"/>
      <c r="R9" s="79"/>
      <c r="S9" s="80"/>
    </row>
    <row r="10" spans="2:19" ht="15.75" thickBot="1" x14ac:dyDescent="0.3">
      <c r="B10" s="78" t="s">
        <v>128</v>
      </c>
      <c r="C10" s="79"/>
      <c r="D10" s="80"/>
    </row>
    <row r="11" spans="2:19" ht="15.75" thickBot="1" x14ac:dyDescent="0.3"/>
    <row r="12" spans="2:19" ht="15.75" thickBot="1" x14ac:dyDescent="0.3">
      <c r="B12" s="106" t="s">
        <v>129</v>
      </c>
      <c r="C12" s="107"/>
      <c r="D12" s="106"/>
      <c r="E12" s="108"/>
      <c r="F12" s="108"/>
      <c r="G12" s="107"/>
      <c r="H12" s="109" t="s">
        <v>130</v>
      </c>
      <c r="I12" s="108"/>
      <c r="J12" s="108"/>
      <c r="K12" s="108"/>
      <c r="L12" s="108"/>
      <c r="M12" s="108"/>
      <c r="N12" s="107"/>
    </row>
    <row r="13" spans="2:19" ht="15.75" thickBot="1" x14ac:dyDescent="0.3">
      <c r="B13" s="110" t="s">
        <v>125</v>
      </c>
      <c r="C13" s="111"/>
      <c r="D13" s="112" t="s">
        <v>169</v>
      </c>
      <c r="E13" s="113"/>
      <c r="F13" s="113"/>
      <c r="G13" s="114"/>
      <c r="H13" s="115" t="s">
        <v>131</v>
      </c>
      <c r="I13" s="113"/>
      <c r="J13" s="113"/>
      <c r="K13" s="113"/>
      <c r="L13" s="113"/>
      <c r="M13" s="113"/>
      <c r="N13" s="114"/>
    </row>
    <row r="14" spans="2:19" x14ac:dyDescent="0.25">
      <c r="B14" s="102" t="s">
        <v>121</v>
      </c>
      <c r="C14" s="116"/>
      <c r="D14" s="75" t="s">
        <v>132</v>
      </c>
      <c r="E14" s="76"/>
      <c r="F14" s="76"/>
      <c r="G14" s="77"/>
      <c r="H14" s="117" t="s">
        <v>133</v>
      </c>
      <c r="I14" s="76"/>
      <c r="J14" s="76"/>
      <c r="K14" s="76"/>
      <c r="L14" s="76"/>
      <c r="M14" s="76"/>
      <c r="N14" s="77"/>
      <c r="O14" s="118" t="s">
        <v>134</v>
      </c>
      <c r="P14" s="81" t="s">
        <v>135</v>
      </c>
      <c r="Q14" s="82" t="s">
        <v>136</v>
      </c>
    </row>
    <row r="15" spans="2:19" x14ac:dyDescent="0.25">
      <c r="B15" s="102" t="s">
        <v>121</v>
      </c>
      <c r="C15" s="116"/>
      <c r="D15" s="75" t="s">
        <v>137</v>
      </c>
      <c r="E15" s="76"/>
      <c r="F15" s="76"/>
      <c r="G15" s="77"/>
      <c r="H15" s="117" t="s">
        <v>138</v>
      </c>
      <c r="I15" s="76"/>
      <c r="J15" s="76"/>
      <c r="K15" s="76"/>
      <c r="L15" s="76"/>
      <c r="M15" s="76"/>
      <c r="N15" s="77"/>
      <c r="O15" s="119"/>
      <c r="P15" s="83"/>
      <c r="Q15" s="84"/>
    </row>
    <row r="16" spans="2:19" ht="15.75" thickBot="1" x14ac:dyDescent="0.3">
      <c r="B16" s="104" t="s">
        <v>128</v>
      </c>
      <c r="C16" s="120"/>
      <c r="D16" s="78" t="s">
        <v>139</v>
      </c>
      <c r="E16" s="79"/>
      <c r="F16" s="79"/>
      <c r="G16" s="80"/>
      <c r="H16" s="121" t="s">
        <v>140</v>
      </c>
      <c r="I16" s="79"/>
      <c r="J16" s="79"/>
      <c r="K16" s="79"/>
      <c r="L16" s="79"/>
      <c r="M16" s="79"/>
      <c r="N16" s="80"/>
      <c r="O16" s="122"/>
      <c r="P16" s="85"/>
      <c r="Q16" s="86"/>
    </row>
    <row r="17" spans="1:15" ht="15.75" thickBot="1" x14ac:dyDescent="0.3"/>
    <row r="18" spans="1:15" ht="15.75" thickBot="1" x14ac:dyDescent="0.3">
      <c r="B18" s="106" t="s">
        <v>141</v>
      </c>
      <c r="C18" s="108"/>
      <c r="D18" s="108" t="s">
        <v>142</v>
      </c>
      <c r="E18" s="108"/>
      <c r="F18" s="108" t="s">
        <v>143</v>
      </c>
      <c r="G18" s="123"/>
      <c r="H18" s="87" t="s">
        <v>144</v>
      </c>
      <c r="K18" s="133" t="s">
        <v>145</v>
      </c>
      <c r="L18" s="134" t="s">
        <v>143</v>
      </c>
      <c r="M18" s="135" t="s">
        <v>146</v>
      </c>
      <c r="N18" s="15" t="s">
        <v>147</v>
      </c>
      <c r="O18" s="132" t="s">
        <v>148</v>
      </c>
    </row>
    <row r="19" spans="1:15" x14ac:dyDescent="0.25">
      <c r="A19" s="88" t="s">
        <v>125</v>
      </c>
      <c r="B19" s="112" t="s">
        <v>149</v>
      </c>
      <c r="C19" s="113"/>
      <c r="D19" s="113" t="s">
        <v>150</v>
      </c>
      <c r="E19" s="113"/>
      <c r="F19" s="113">
        <v>20.443000000000001</v>
      </c>
      <c r="G19" s="124"/>
      <c r="H19" s="90"/>
      <c r="J19" s="89" t="s">
        <v>121</v>
      </c>
      <c r="K19" s="136" t="s">
        <v>151</v>
      </c>
      <c r="L19" s="137">
        <v>17.111999999999998</v>
      </c>
      <c r="M19" s="137">
        <v>6203.7</v>
      </c>
      <c r="N19" s="137">
        <f>M19*O19</f>
        <v>29467.575000000001</v>
      </c>
      <c r="O19" s="82">
        <v>4.75</v>
      </c>
    </row>
    <row r="20" spans="1:15" x14ac:dyDescent="0.25">
      <c r="A20" s="91"/>
      <c r="B20" s="75" t="s">
        <v>152</v>
      </c>
      <c r="C20" s="76"/>
      <c r="D20" s="76" t="s">
        <v>153</v>
      </c>
      <c r="E20" s="76"/>
      <c r="F20" s="76">
        <v>19.2</v>
      </c>
      <c r="G20" s="125"/>
      <c r="H20" s="126" t="s">
        <v>154</v>
      </c>
      <c r="J20" s="92"/>
      <c r="K20" s="93" t="s">
        <v>155</v>
      </c>
      <c r="L20" s="94">
        <v>15.813000000000001</v>
      </c>
      <c r="M20" s="94">
        <v>7740.02</v>
      </c>
      <c r="N20" s="94">
        <f t="shared" ref="N20:N21" si="0">M20*O20</f>
        <v>33978.6878</v>
      </c>
      <c r="O20" s="84">
        <v>4.3899999999999997</v>
      </c>
    </row>
    <row r="21" spans="1:15" ht="81.75" thickBot="1" x14ac:dyDescent="0.3">
      <c r="A21" s="95"/>
      <c r="B21" s="78" t="s">
        <v>156</v>
      </c>
      <c r="C21" s="79"/>
      <c r="D21" s="79" t="s">
        <v>157</v>
      </c>
      <c r="E21" s="79"/>
      <c r="F21" s="79">
        <v>18</v>
      </c>
      <c r="G21" s="96"/>
      <c r="H21" s="101" t="s">
        <v>158</v>
      </c>
      <c r="J21" s="97"/>
      <c r="K21" s="98" t="s">
        <v>159</v>
      </c>
      <c r="L21" s="99">
        <v>13.089</v>
      </c>
      <c r="M21" s="99">
        <v>2107.6</v>
      </c>
      <c r="N21" s="99">
        <f t="shared" si="0"/>
        <v>7663.2335999999996</v>
      </c>
      <c r="O21" s="86">
        <v>3.6360000000000001</v>
      </c>
    </row>
    <row r="22" spans="1:15" ht="15.75" thickBot="1" x14ac:dyDescent="0.3">
      <c r="K22" s="127" t="s">
        <v>160</v>
      </c>
      <c r="L22" s="100" t="s">
        <v>161</v>
      </c>
      <c r="M22" s="128" t="s">
        <v>162</v>
      </c>
    </row>
    <row r="23" spans="1:15" x14ac:dyDescent="0.25">
      <c r="B23" s="1" t="s">
        <v>163</v>
      </c>
      <c r="L23" s="1" t="s">
        <v>164</v>
      </c>
    </row>
    <row r="31" spans="1:15" x14ac:dyDescent="0.25">
      <c r="B31" s="129"/>
    </row>
    <row r="33" spans="2:2" x14ac:dyDescent="0.25">
      <c r="B33" s="129"/>
    </row>
    <row r="35" spans="2:2" x14ac:dyDescent="0.25">
      <c r="B35" s="129"/>
    </row>
  </sheetData>
  <mergeCells count="54">
    <mergeCell ref="J19:J21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A19:A21"/>
    <mergeCell ref="B19:C19"/>
    <mergeCell ref="D19:E19"/>
    <mergeCell ref="F19:G19"/>
    <mergeCell ref="B14:C14"/>
    <mergeCell ref="D14:G14"/>
    <mergeCell ref="H14:N14"/>
    <mergeCell ref="O14:O16"/>
    <mergeCell ref="B15:C15"/>
    <mergeCell ref="D15:G15"/>
    <mergeCell ref="H15:N15"/>
    <mergeCell ref="B16:C16"/>
    <mergeCell ref="D16:G16"/>
    <mergeCell ref="H16:N16"/>
    <mergeCell ref="B10:D10"/>
    <mergeCell ref="B12:C12"/>
    <mergeCell ref="D12:G12"/>
    <mergeCell ref="H12:N12"/>
    <mergeCell ref="B13:C13"/>
    <mergeCell ref="D13:G13"/>
    <mergeCell ref="H13:N13"/>
    <mergeCell ref="B8:D8"/>
    <mergeCell ref="F8:G8"/>
    <mergeCell ref="I8:K8"/>
    <mergeCell ref="L8:S8"/>
    <mergeCell ref="B9:D9"/>
    <mergeCell ref="F9:G9"/>
    <mergeCell ref="I9:K9"/>
    <mergeCell ref="L9:S9"/>
    <mergeCell ref="I5:K5"/>
    <mergeCell ref="L5:S5"/>
    <mergeCell ref="I6:K6"/>
    <mergeCell ref="L6:S6"/>
    <mergeCell ref="B7:D7"/>
    <mergeCell ref="F7:G7"/>
    <mergeCell ref="I7:K7"/>
    <mergeCell ref="L7:S7"/>
    <mergeCell ref="C2:D2"/>
    <mergeCell ref="F2:G2"/>
    <mergeCell ref="I2:S2"/>
    <mergeCell ref="I3:K3"/>
    <mergeCell ref="L3:S3"/>
    <mergeCell ref="I4:K4"/>
    <mergeCell ref="L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D34A-5B1B-4C7B-BF1E-7A4D2E4410B9}">
  <dimension ref="B2:N24"/>
  <sheetViews>
    <sheetView workbookViewId="0"/>
  </sheetViews>
  <sheetFormatPr defaultRowHeight="15" x14ac:dyDescent="0.25"/>
  <cols>
    <col min="1" max="1" width="9.140625" style="1"/>
    <col min="2" max="2" width="15.140625" style="1" customWidth="1"/>
    <col min="3" max="3" width="16.28515625" style="1" customWidth="1"/>
    <col min="4" max="5" width="12.5703125" style="1" customWidth="1"/>
    <col min="6" max="6" width="14.42578125" style="1" customWidth="1"/>
    <col min="7" max="7" width="16.7109375" style="1" customWidth="1"/>
    <col min="8" max="8" width="12.140625" style="1" customWidth="1"/>
    <col min="9" max="16384" width="9.140625" style="1"/>
  </cols>
  <sheetData>
    <row r="2" spans="2:14" ht="15.75" thickBot="1" x14ac:dyDescent="0.3">
      <c r="N2" s="129"/>
    </row>
    <row r="3" spans="2:14" x14ac:dyDescent="0.25">
      <c r="C3" s="138" t="s">
        <v>170</v>
      </c>
      <c r="D3" s="139" t="s">
        <v>171</v>
      </c>
      <c r="E3" s="140" t="s">
        <v>148</v>
      </c>
      <c r="F3" s="138" t="s">
        <v>172</v>
      </c>
      <c r="G3" s="141" t="s">
        <v>173</v>
      </c>
      <c r="N3" s="129"/>
    </row>
    <row r="4" spans="2:14" ht="15.75" thickBot="1" x14ac:dyDescent="0.3">
      <c r="C4" s="142"/>
      <c r="D4" s="143"/>
      <c r="E4" s="144"/>
      <c r="F4" s="142"/>
      <c r="G4" s="145"/>
      <c r="N4" s="129"/>
    </row>
    <row r="5" spans="2:14" ht="15.75" thickBot="1" x14ac:dyDescent="0.3">
      <c r="B5" s="146" t="s">
        <v>174</v>
      </c>
      <c r="C5" s="147">
        <v>18500</v>
      </c>
      <c r="D5" s="148">
        <v>17883.043600000001</v>
      </c>
      <c r="E5" s="148">
        <f>4.9675</f>
        <v>4.9675000000000002</v>
      </c>
      <c r="F5" s="163">
        <f>(C5*10^-4)*E5</f>
        <v>9.1898750000000007</v>
      </c>
      <c r="G5" s="164">
        <f>C5*E5</f>
        <v>91898.75</v>
      </c>
    </row>
    <row r="6" spans="2:14" ht="15.75" thickBot="1" x14ac:dyDescent="0.3">
      <c r="B6" s="146" t="s">
        <v>175</v>
      </c>
      <c r="C6" s="149">
        <v>12200</v>
      </c>
      <c r="D6" s="150">
        <v>20443</v>
      </c>
      <c r="E6" s="151">
        <v>5.6786000000000003</v>
      </c>
      <c r="F6" s="153">
        <f t="shared" ref="F6:F8" si="0">(C6*10^-4)*E6</f>
        <v>6.9278919999999999</v>
      </c>
      <c r="G6" s="165">
        <f t="shared" ref="G6:G8" si="1">C6*E6</f>
        <v>69278.92</v>
      </c>
    </row>
    <row r="7" spans="2:14" ht="15.75" thickBot="1" x14ac:dyDescent="0.3">
      <c r="B7" s="146" t="s">
        <v>152</v>
      </c>
      <c r="C7" s="149">
        <v>25000</v>
      </c>
      <c r="D7" s="152">
        <v>19200</v>
      </c>
      <c r="E7" s="153">
        <v>5.33</v>
      </c>
      <c r="F7" s="153">
        <f t="shared" si="0"/>
        <v>13.324999999999999</v>
      </c>
      <c r="G7" s="165">
        <f t="shared" si="1"/>
        <v>133250</v>
      </c>
    </row>
    <row r="8" spans="2:14" ht="15.75" thickBot="1" x14ac:dyDescent="0.3">
      <c r="B8" s="44" t="s">
        <v>156</v>
      </c>
      <c r="C8" s="154">
        <v>25000</v>
      </c>
      <c r="D8" s="155">
        <v>18000</v>
      </c>
      <c r="E8" s="156">
        <v>5</v>
      </c>
      <c r="F8" s="156">
        <f t="shared" si="0"/>
        <v>12.5</v>
      </c>
      <c r="G8" s="166">
        <f t="shared" si="1"/>
        <v>125000</v>
      </c>
    </row>
    <row r="10" spans="2:14" ht="15.75" thickBot="1" x14ac:dyDescent="0.3">
      <c r="B10" s="13"/>
    </row>
    <row r="11" spans="2:14" ht="90.75" thickBot="1" x14ac:dyDescent="0.3">
      <c r="C11" s="157" t="s">
        <v>176</v>
      </c>
      <c r="D11" s="157" t="s">
        <v>177</v>
      </c>
      <c r="E11" s="158" t="s">
        <v>178</v>
      </c>
      <c r="F11" s="157" t="s">
        <v>179</v>
      </c>
      <c r="G11" s="159" t="s">
        <v>180</v>
      </c>
    </row>
    <row r="12" spans="2:14" ht="15.75" thickBot="1" x14ac:dyDescent="0.3">
      <c r="B12" s="50" t="s">
        <v>174</v>
      </c>
      <c r="C12" s="167">
        <f>75*10^-3</f>
        <v>7.4999999999999997E-2</v>
      </c>
      <c r="D12" s="168">
        <f>C12/E5</f>
        <v>1.5098137896326119E-2</v>
      </c>
      <c r="E12" s="169">
        <v>1.1000000000000001E-3</v>
      </c>
      <c r="F12" s="170">
        <f>(D12/0.35)+G12+E12</f>
        <v>0.55692145364015189</v>
      </c>
      <c r="G12" s="164">
        <f>(50000000/(15000))/(24*365*30) +0.5</f>
        <v>0.51268391679350589</v>
      </c>
    </row>
    <row r="13" spans="2:14" ht="15.75" thickBot="1" x14ac:dyDescent="0.3">
      <c r="B13" s="50" t="s">
        <v>175</v>
      </c>
      <c r="C13" s="171">
        <f>30*10^-3</f>
        <v>0.03</v>
      </c>
      <c r="D13" s="172">
        <f t="shared" ref="D13:D15" si="2">C13/E6</f>
        <v>5.2829922868312604E-3</v>
      </c>
      <c r="E13" s="173">
        <v>1.1000000000000001E-3</v>
      </c>
      <c r="F13" s="174">
        <f t="shared" ref="F13:F15" si="3">(D13/0.35)+G13+E13</f>
        <v>0.52887818047016666</v>
      </c>
      <c r="G13" s="165">
        <f>(50000000/(15000))/(24*365*30) +0.5</f>
        <v>0.51268391679350589</v>
      </c>
    </row>
    <row r="14" spans="2:14" ht="15.75" thickBot="1" x14ac:dyDescent="0.3">
      <c r="B14" s="50" t="s">
        <v>152</v>
      </c>
      <c r="C14" s="171">
        <f>25.9*10^-3</f>
        <v>2.5899999999999999E-2</v>
      </c>
      <c r="D14" s="172">
        <f t="shared" si="2"/>
        <v>4.8592870544090054E-3</v>
      </c>
      <c r="E14" s="173">
        <v>1.1000000000000001E-3</v>
      </c>
      <c r="F14" s="174">
        <f t="shared" si="3"/>
        <v>0.52766759409181729</v>
      </c>
      <c r="G14" s="165">
        <f>(50000000/(15000))/(24*365*30) +0.5</f>
        <v>0.51268391679350589</v>
      </c>
    </row>
    <row r="15" spans="2:14" ht="15.75" thickBot="1" x14ac:dyDescent="0.3">
      <c r="B15" s="4" t="s">
        <v>156</v>
      </c>
      <c r="C15" s="175">
        <f>34.5*10^-3</f>
        <v>3.4500000000000003E-2</v>
      </c>
      <c r="D15" s="176">
        <f t="shared" si="2"/>
        <v>6.9000000000000008E-3</v>
      </c>
      <c r="E15" s="177">
        <v>1.1000000000000001E-3</v>
      </c>
      <c r="F15" s="178">
        <f t="shared" si="3"/>
        <v>0.53349820250779156</v>
      </c>
      <c r="G15" s="166">
        <f>(50000000/(15000))/(24*365*30) +0.5</f>
        <v>0.51268391679350589</v>
      </c>
    </row>
    <row r="16" spans="2:14" ht="15.75" thickBot="1" x14ac:dyDescent="0.3"/>
    <row r="17" spans="3:8" x14ac:dyDescent="0.25">
      <c r="C17" s="15" t="s">
        <v>181</v>
      </c>
      <c r="D17" s="28" t="s">
        <v>182</v>
      </c>
    </row>
    <row r="18" spans="3:8" ht="15.75" thickBot="1" x14ac:dyDescent="0.3">
      <c r="C18" s="2" t="s">
        <v>183</v>
      </c>
      <c r="D18" s="3" t="s">
        <v>184</v>
      </c>
    </row>
    <row r="19" spans="3:8" ht="15.75" thickBot="1" x14ac:dyDescent="0.3">
      <c r="C19" s="50" t="s">
        <v>185</v>
      </c>
      <c r="D19" s="100" t="s">
        <v>186</v>
      </c>
      <c r="E19" s="100">
        <f>15*24*365</f>
        <v>131400</v>
      </c>
      <c r="F19" s="100" t="s">
        <v>187</v>
      </c>
      <c r="G19" s="100">
        <f>E19*10^3</f>
        <v>131400000</v>
      </c>
      <c r="H19" s="128" t="s">
        <v>188</v>
      </c>
    </row>
    <row r="20" spans="3:8" ht="60.75" thickBot="1" x14ac:dyDescent="0.3">
      <c r="C20" s="4" t="s">
        <v>189</v>
      </c>
      <c r="D20" s="179">
        <v>0.35</v>
      </c>
      <c r="G20" s="180" t="s">
        <v>190</v>
      </c>
      <c r="H20" s="180" t="s">
        <v>191</v>
      </c>
    </row>
    <row r="21" spans="3:8" x14ac:dyDescent="0.25">
      <c r="F21" s="160" t="s">
        <v>174</v>
      </c>
      <c r="G21" s="181">
        <f>$G$19/(G5*0.35)</f>
        <v>4085.2413273148054</v>
      </c>
      <c r="H21" s="182">
        <f>G21/50000</f>
        <v>8.1704826546296114E-2</v>
      </c>
    </row>
    <row r="22" spans="3:8" x14ac:dyDescent="0.25">
      <c r="F22" s="161" t="s">
        <v>175</v>
      </c>
      <c r="G22" s="183">
        <f>$G$19/(G6*0.35)</f>
        <v>5419.0881068667268</v>
      </c>
      <c r="H22" s="184">
        <f t="shared" ref="H22:H24" si="4">G22/50000</f>
        <v>0.10838176213733454</v>
      </c>
    </row>
    <row r="23" spans="3:8" x14ac:dyDescent="0.25">
      <c r="F23" s="161" t="s">
        <v>152</v>
      </c>
      <c r="G23" s="183">
        <f>$G$19/(G7*0.35)</f>
        <v>2817.4752077191101</v>
      </c>
      <c r="H23" s="184">
        <f t="shared" si="4"/>
        <v>5.6349504154382203E-2</v>
      </c>
    </row>
    <row r="24" spans="3:8" ht="15.75" thickBot="1" x14ac:dyDescent="0.3">
      <c r="F24" s="162" t="s">
        <v>156</v>
      </c>
      <c r="G24" s="185">
        <f>$G$19/(G8*0.35)</f>
        <v>3003.4285714285716</v>
      </c>
      <c r="H24" s="186">
        <f t="shared" si="4"/>
        <v>6.006857142857143E-2</v>
      </c>
    </row>
  </sheetData>
  <mergeCells count="5"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Biocombustíveis</vt:lpstr>
      <vt:lpstr>Biomassa</vt:lpstr>
      <vt:lpstr>Biomassa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Guerreiro</dc:creator>
  <cp:lastModifiedBy>Ricardo Guerreiro</cp:lastModifiedBy>
  <dcterms:created xsi:type="dcterms:W3CDTF">2019-03-03T16:22:38Z</dcterms:created>
  <dcterms:modified xsi:type="dcterms:W3CDTF">2019-03-27T18:37:44Z</dcterms:modified>
</cp:coreProperties>
</file>