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jsilva\Desktop\Exame(2)\"/>
    </mc:Choice>
  </mc:AlternateContent>
  <xr:revisionPtr revIDLastSave="0" documentId="13_ncr:1_{9D1EBD5C-6811-4BFF-A236-2DFC459330FC}" xr6:coauthVersionLast="44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Anexo" sheetId="4" r:id="rId1"/>
    <sheet name="Q2.1" sheetId="5" r:id="rId2"/>
    <sheet name="Q2.2" sheetId="6" r:id="rId3"/>
    <sheet name="Q3" sheetId="7" r:id="rId4"/>
    <sheet name="Q4_option1" sheetId="9" r:id="rId5"/>
    <sheet name="Q4_option2" sheetId="8" r:id="rId6"/>
    <sheet name="Q5" sheetId="10" r:id="rId7"/>
  </sheets>
  <definedNames>
    <definedName name="_xlnm.Print_Area" localSheetId="0">Anexo!$A$1:$M$51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30" i="9" l="1"/>
  <c r="E14" i="10" l="1"/>
  <c r="H34" i="4"/>
  <c r="E16" i="10"/>
  <c r="E18" i="10" s="1"/>
  <c r="E20" i="10" s="1"/>
  <c r="O27" i="8"/>
  <c r="O25" i="8"/>
  <c r="N22" i="8"/>
  <c r="N23" i="8"/>
  <c r="N21" i="8"/>
  <c r="N20" i="8"/>
  <c r="T26" i="8"/>
  <c r="T25" i="8"/>
  <c r="T24" i="8"/>
  <c r="T23" i="8"/>
  <c r="T22" i="8"/>
  <c r="T21" i="8"/>
  <c r="T20" i="8"/>
  <c r="T19" i="8"/>
  <c r="T18" i="8"/>
  <c r="T17" i="8"/>
  <c r="R26" i="8"/>
  <c r="R25" i="8"/>
  <c r="R24" i="8"/>
  <c r="R23" i="8"/>
  <c r="R22" i="8"/>
  <c r="R21" i="8"/>
  <c r="R20" i="8"/>
  <c r="R19" i="8"/>
  <c r="R18" i="8"/>
  <c r="R17" i="8"/>
  <c r="P18" i="8"/>
  <c r="P19" i="8"/>
  <c r="P20" i="8"/>
  <c r="P21" i="8"/>
  <c r="P22" i="8"/>
  <c r="P23" i="8"/>
  <c r="P24" i="8"/>
  <c r="P25" i="8"/>
  <c r="P26" i="8"/>
  <c r="P17" i="8"/>
  <c r="S32" i="9"/>
  <c r="S28" i="9"/>
  <c r="S27" i="9"/>
  <c r="S26" i="9"/>
  <c r="S24" i="9"/>
  <c r="U8" i="7"/>
  <c r="U11" i="7"/>
  <c r="U15" i="7"/>
  <c r="M20" i="4"/>
  <c r="E24" i="4"/>
  <c r="K23" i="4"/>
  <c r="K24" i="4" s="1"/>
  <c r="J23" i="4"/>
  <c r="J24" i="4" s="1"/>
  <c r="I23" i="4"/>
  <c r="I24" i="4" s="1"/>
  <c r="H23" i="4"/>
  <c r="H24" i="4" s="1"/>
  <c r="G23" i="4"/>
  <c r="G24" i="4" s="1"/>
  <c r="F23" i="4"/>
  <c r="F24" i="4" s="1"/>
  <c r="E23" i="4"/>
  <c r="D23" i="4"/>
  <c r="D24" i="4" s="1"/>
  <c r="C23" i="4"/>
  <c r="C24" i="4" s="1"/>
  <c r="D14" i="4"/>
  <c r="E14" i="4"/>
  <c r="F14" i="4"/>
  <c r="G14" i="4"/>
  <c r="H14" i="4"/>
  <c r="H15" i="4" s="1"/>
  <c r="I14" i="4"/>
  <c r="J14" i="4"/>
  <c r="J15" i="4" s="1"/>
  <c r="K14" i="4"/>
  <c r="K15" i="4" s="1"/>
  <c r="L14" i="4"/>
  <c r="D15" i="4"/>
  <c r="E15" i="4"/>
  <c r="F15" i="4"/>
  <c r="G15" i="4"/>
  <c r="I15" i="4"/>
  <c r="L15" i="4"/>
  <c r="C15" i="4"/>
  <c r="C14" i="4"/>
  <c r="I13" i="6"/>
  <c r="E13" i="6"/>
  <c r="E15" i="6" s="1"/>
  <c r="G13" i="6"/>
  <c r="J26" i="5" l="1"/>
  <c r="J25" i="5"/>
  <c r="F25" i="5"/>
</calcChain>
</file>

<file path=xl/sharedStrings.xml><?xml version="1.0" encoding="utf-8"?>
<sst xmlns="http://schemas.openxmlformats.org/spreadsheetml/2006/main" count="138" uniqueCount="75">
  <si>
    <t>Rep.1</t>
  </si>
  <si>
    <t>Rep.2</t>
  </si>
  <si>
    <t>Rep.3</t>
  </si>
  <si>
    <t>Rep.4</t>
  </si>
  <si>
    <t>Am31/19</t>
  </si>
  <si>
    <t>Am10/19</t>
  </si>
  <si>
    <t>-</t>
  </si>
  <si>
    <t>Am14/19</t>
  </si>
  <si>
    <t>Am24/19</t>
  </si>
  <si>
    <t>Am30/19</t>
  </si>
  <si>
    <t>Am34/19</t>
  </si>
  <si>
    <t>Am45/19</t>
  </si>
  <si>
    <t>Am55/19</t>
  </si>
  <si>
    <t>Am60/19</t>
  </si>
  <si>
    <t>Am65/19</t>
  </si>
  <si>
    <t>Am68/19</t>
  </si>
  <si>
    <t>Am74/19</t>
  </si>
  <si>
    <t>Am76/19</t>
  </si>
  <si>
    <t>Am84/19</t>
  </si>
  <si>
    <t>Am86/19</t>
  </si>
  <si>
    <t>Am97/19</t>
  </si>
  <si>
    <t>Am101/19</t>
  </si>
  <si>
    <t>Am110/19</t>
  </si>
  <si>
    <t>Am113/19</t>
  </si>
  <si>
    <t>Am117/19</t>
  </si>
  <si>
    <t>Análises de rotina de amostras de solos</t>
  </si>
  <si>
    <t>Routine analysis of soil samples</t>
  </si>
  <si>
    <t>Data/Date</t>
  </si>
  <si>
    <t>Am./Sp.</t>
  </si>
  <si>
    <t>Análise de um material de referência certificado</t>
  </si>
  <si>
    <t>Analysis of a certified reference material</t>
  </si>
  <si>
    <t>MRC *</t>
  </si>
  <si>
    <t>Validação do procedimento de medição de Pb em solo</t>
  </si>
  <si>
    <t>Validation of the procedure for the measurement of Pb in soil</t>
  </si>
  <si>
    <t>Am./Sp. - Referência da amostra; Sample code.</t>
  </si>
  <si>
    <r>
      <t xml:space="preserve">* Valor Certrificado/ </t>
    </r>
    <r>
      <rPr>
        <b/>
        <i/>
        <sz val="11"/>
        <color theme="1"/>
        <rFont val="Calibri"/>
        <family val="2"/>
        <scheme val="minor"/>
      </rPr>
      <t>Certified value</t>
    </r>
    <r>
      <rPr>
        <b/>
        <sz val="11"/>
        <color theme="1"/>
        <rFont val="Calibri"/>
        <family val="2"/>
        <scheme val="minor"/>
      </rPr>
      <t>: (18.510 ± 0.098) mg/kg (</t>
    </r>
    <r>
      <rPr>
        <b/>
        <i/>
        <sz val="11"/>
        <color theme="1"/>
        <rFont val="Calibri"/>
        <family val="2"/>
        <scheme val="minor"/>
      </rPr>
      <t>k</t>
    </r>
    <r>
      <rPr>
        <b/>
        <sz val="11"/>
        <color theme="1"/>
        <rFont val="Calibri"/>
        <family val="2"/>
        <scheme val="minor"/>
      </rPr>
      <t xml:space="preserve"> = 2, nível de confiança/</t>
    </r>
    <r>
      <rPr>
        <b/>
        <i/>
        <sz val="11"/>
        <color theme="1"/>
        <rFont val="Calibri"/>
        <family val="2"/>
        <scheme val="minor"/>
      </rPr>
      <t>confidence level</t>
    </r>
    <r>
      <rPr>
        <b/>
        <sz val="11"/>
        <color theme="1"/>
        <rFont val="Calibri"/>
        <family val="2"/>
        <scheme val="minor"/>
      </rPr>
      <t xml:space="preserve"> - 95 %)</t>
    </r>
  </si>
  <si>
    <t>Tare:</t>
  </si>
  <si>
    <t>g</t>
  </si>
  <si>
    <t>Sample mass:</t>
  </si>
  <si>
    <t>Gross:</t>
  </si>
  <si>
    <t>u(m)=</t>
  </si>
  <si>
    <t>U(m)=</t>
  </si>
  <si>
    <r>
      <t>(50.0155</t>
    </r>
    <r>
      <rPr>
        <sz val="11"/>
        <color theme="1"/>
        <rFont val="Calibri"/>
        <family val="2"/>
      </rPr>
      <t>±0.0041) g (k = 2; c.l. aprox. 95 %)</t>
    </r>
  </si>
  <si>
    <t>V=</t>
  </si>
  <si>
    <t>mL</t>
  </si>
  <si>
    <t>uV=</t>
  </si>
  <si>
    <t>U(V)=</t>
  </si>
  <si>
    <t>(100.00 ± 0.45) mL (k = 3; c.l. aprox. 99%)</t>
  </si>
  <si>
    <t>Temp. is considered negligible</t>
  </si>
  <si>
    <t>n</t>
  </si>
  <si>
    <t>n-1</t>
  </si>
  <si>
    <t>(n-1)*sd^2</t>
  </si>
  <si>
    <t>sr:</t>
  </si>
  <si>
    <t>mg/kg</t>
  </si>
  <si>
    <t>CL</t>
  </si>
  <si>
    <t>WL</t>
  </si>
  <si>
    <t>Cobs_m</t>
  </si>
  <si>
    <t>Cref</t>
  </si>
  <si>
    <t>Rm=</t>
  </si>
  <si>
    <t>sobs=</t>
  </si>
  <si>
    <t>n=</t>
  </si>
  <si>
    <t>u(Rm)=</t>
  </si>
  <si>
    <t>tcal:</t>
  </si>
  <si>
    <t>&lt;2</t>
  </si>
  <si>
    <t>mean</t>
  </si>
  <si>
    <t>SD</t>
  </si>
  <si>
    <t>t</t>
  </si>
  <si>
    <t>mean+t*s/sqrt(30)</t>
  </si>
  <si>
    <t>mean-t*s/sqrt(30)</t>
  </si>
  <si>
    <t>u'(Rm):</t>
  </si>
  <si>
    <t>u'precision:</t>
  </si>
  <si>
    <t>sI=</t>
  </si>
  <si>
    <t>uc=</t>
  </si>
  <si>
    <t>U=</t>
  </si>
  <si>
    <t>(22.5 ± 3.1) mg/kg (k=2, c.l. aprox. 95%)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</si>
</sst>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%"/>
    <numFmt numFmtId="165" formatCode="0.00000000000000%"/>
    <numFmt numFmtId="166" formatCode="0.00000000000000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bgColor rgb="FFFFFF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1" fillId="4" borderId="4" xfId="0" applyFont="1" applyFill="1" applyBorder="1"/>
    <xf numFmtId="0" fontId="2" fillId="4" borderId="6" xfId="0" applyFont="1" applyFill="1" applyBorder="1"/>
    <xf numFmtId="0" fontId="1" fillId="4" borderId="1" xfId="0" applyFont="1" applyFill="1" applyBorder="1" applyAlignment="1">
      <alignment horizontal="center"/>
    </xf>
    <xf numFmtId="14" fontId="1" fillId="4" borderId="1" xfId="0" applyNumberFormat="1" applyFont="1" applyFill="1" applyBorder="1" applyAlignment="1" applyProtection="1">
      <alignment horizontal="center"/>
    </xf>
    <xf numFmtId="0" fontId="3" fillId="0" borderId="0" xfId="0" applyFont="1" applyBorder="1"/>
    <xf numFmtId="0" fontId="4" fillId="0" borderId="0" xfId="0" applyFont="1" applyBorder="1"/>
    <xf numFmtId="0" fontId="1" fillId="0" borderId="0" xfId="0" applyFont="1" applyBorder="1" applyProtection="1"/>
    <xf numFmtId="14" fontId="1" fillId="4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 applyProtection="1">
      <alignment horizontal="center"/>
    </xf>
    <xf numFmtId="0" fontId="0" fillId="0" borderId="4" xfId="0" applyFont="1" applyBorder="1"/>
    <xf numFmtId="0" fontId="0" fillId="0" borderId="3" xfId="0" applyFont="1" applyBorder="1"/>
    <xf numFmtId="0" fontId="0" fillId="0" borderId="5" xfId="0" applyFont="1" applyBorder="1"/>
    <xf numFmtId="0" fontId="0" fillId="3" borderId="0" xfId="0" applyFont="1" applyFill="1"/>
    <xf numFmtId="0" fontId="0" fillId="0" borderId="0" xfId="0" applyFont="1"/>
    <xf numFmtId="0" fontId="0" fillId="0" borderId="8" xfId="0" applyFont="1" applyBorder="1"/>
    <xf numFmtId="0" fontId="0" fillId="0" borderId="0" xfId="0" applyFont="1" applyBorder="1"/>
    <xf numFmtId="0" fontId="0" fillId="0" borderId="9" xfId="0" applyFont="1" applyBorder="1"/>
    <xf numFmtId="0" fontId="0" fillId="4" borderId="3" xfId="0" applyFont="1" applyFill="1" applyBorder="1"/>
    <xf numFmtId="0" fontId="0" fillId="4" borderId="5" xfId="0" applyFont="1" applyFill="1" applyBorder="1"/>
    <xf numFmtId="0" fontId="0" fillId="4" borderId="2" xfId="0" applyFont="1" applyFill="1" applyBorder="1"/>
    <xf numFmtId="0" fontId="0" fillId="4" borderId="7" xfId="0" applyFont="1" applyFill="1" applyBorder="1"/>
    <xf numFmtId="2" fontId="0" fillId="2" borderId="1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6" xfId="0" applyFont="1" applyBorder="1"/>
    <xf numFmtId="0" fontId="0" fillId="0" borderId="2" xfId="0" applyFont="1" applyBorder="1"/>
    <xf numFmtId="0" fontId="0" fillId="0" borderId="7" xfId="0" applyFont="1" applyBorder="1"/>
    <xf numFmtId="2" fontId="0" fillId="0" borderId="0" xfId="0" applyNumberFormat="1" applyFont="1"/>
    <xf numFmtId="0" fontId="0" fillId="2" borderId="4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9" xfId="0" applyFill="1" applyBorder="1"/>
    <xf numFmtId="0" fontId="0" fillId="2" borderId="0" xfId="0" applyFill="1" applyBorder="1" applyAlignment="1">
      <alignment horizontal="right"/>
    </xf>
    <xf numFmtId="0" fontId="0" fillId="2" borderId="6" xfId="0" applyFill="1" applyBorder="1"/>
    <xf numFmtId="0" fontId="0" fillId="2" borderId="2" xfId="0" applyFill="1" applyBorder="1"/>
    <xf numFmtId="0" fontId="0" fillId="2" borderId="7" xfId="0" applyFill="1" applyBorder="1"/>
    <xf numFmtId="0" fontId="1" fillId="0" borderId="0" xfId="0" applyFont="1"/>
    <xf numFmtId="0" fontId="5" fillId="0" borderId="0" xfId="0" applyFont="1"/>
    <xf numFmtId="10" fontId="0" fillId="0" borderId="0" xfId="1" applyNumberFormat="1" applyFont="1"/>
    <xf numFmtId="164" fontId="0" fillId="0" borderId="0" xfId="1" applyNumberFormat="1" applyFont="1"/>
    <xf numFmtId="2" fontId="0" fillId="0" borderId="0" xfId="0" applyNumberFormat="1"/>
    <xf numFmtId="10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5" borderId="0" xfId="0" applyFont="1" applyFill="1" applyBorder="1"/>
    <xf numFmtId="0" fontId="0" fillId="5" borderId="9" xfId="0" applyFont="1" applyFill="1" applyBorder="1"/>
    <xf numFmtId="0" fontId="0" fillId="6" borderId="0" xfId="0" applyFont="1" applyFill="1"/>
    <xf numFmtId="0" fontId="0" fillId="5" borderId="0" xfId="0" applyFont="1" applyFill="1"/>
    <xf numFmtId="2" fontId="0" fillId="5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2</xdr:row>
      <xdr:rowOff>57151</xdr:rowOff>
    </xdr:from>
    <xdr:to>
      <xdr:col>15</xdr:col>
      <xdr:colOff>485775</xdr:colOff>
      <xdr:row>17</xdr:row>
      <xdr:rowOff>149973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D5DF03-465E-4433-8FFF-7C389918C2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1075" y="438151"/>
          <a:ext cx="8648700" cy="29503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95250</xdr:rowOff>
    </xdr:from>
    <xdr:to>
      <xdr:col>17</xdr:col>
      <xdr:colOff>255927</xdr:colOff>
      <xdr:row>7</xdr:row>
      <xdr:rowOff>133202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F764621-6A1A-4882-9AB7-4024F2726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" y="285750"/>
          <a:ext cx="9980952" cy="11809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133350</xdr:rowOff>
    </xdr:from>
    <xdr:to>
      <xdr:col>11</xdr:col>
      <xdr:colOff>301407</xdr:colOff>
      <xdr:row>18</xdr:row>
      <xdr:rowOff>142300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8133F4-9CB0-4BD1-9801-E6226C8725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323850"/>
          <a:ext cx="6797457" cy="3247450"/>
        </a:xfrm>
        <a:prstGeom prst="rect">
          <a:avLst/>
        </a:prstGeom>
      </xdr:spPr>
    </xdr:pic>
    <xdr:clientData/>
  </xdr:twoCellAnchor>
  <xdr:twoCellAnchor editAs="oneCell">
    <xdr:from>
      <xdr:col>11</xdr:col>
      <xdr:colOff>285750</xdr:colOff>
      <xdr:row>7</xdr:row>
      <xdr:rowOff>9525</xdr:rowOff>
    </xdr:from>
    <xdr:to>
      <xdr:col>18</xdr:col>
      <xdr:colOff>104775</xdr:colOff>
      <xdr:row>20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227C5A8-DB8A-408D-99D2-85B09A883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1343025"/>
          <a:ext cx="4086225" cy="2647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0</xdr:rowOff>
    </xdr:from>
    <xdr:to>
      <xdr:col>14</xdr:col>
      <xdr:colOff>351467</xdr:colOff>
      <xdr:row>35</xdr:row>
      <xdr:rowOff>46905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632301-03D9-4AD4-A61E-4EE5D127B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952500"/>
          <a:ext cx="7666667" cy="576190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15</xdr:col>
      <xdr:colOff>532419</xdr:colOff>
      <xdr:row>68</xdr:row>
      <xdr:rowOff>46905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19CC46A-7BDF-40A9-89B0-87117AFEAC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28800" y="7239000"/>
          <a:ext cx="7847619" cy="576190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0</xdr:row>
      <xdr:rowOff>157310</xdr:rowOff>
    </xdr:from>
    <xdr:to>
      <xdr:col>12</xdr:col>
      <xdr:colOff>360602</xdr:colOff>
      <xdr:row>17</xdr:row>
      <xdr:rowOff>85158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42BC2F-F582-42E2-8267-9F9D557E2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99" y="157310"/>
          <a:ext cx="7523403" cy="316634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21</xdr:col>
      <xdr:colOff>208020</xdr:colOff>
      <xdr:row>10</xdr:row>
      <xdr:rowOff>18857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7B24A4-8BA5-434E-B004-0F4C112AA6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381000"/>
          <a:ext cx="12238095" cy="15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D237E-2C40-4F97-B224-B4880CBC7C55}">
  <sheetPr>
    <tabColor theme="0" tint="-0.249977111117893"/>
    <pageSetUpPr fitToPage="1"/>
  </sheetPr>
  <dimension ref="A1:U52"/>
  <sheetViews>
    <sheetView tabSelected="1" zoomScale="85" zoomScaleNormal="85" workbookViewId="0">
      <selection activeCell="M33" sqref="M33"/>
    </sheetView>
  </sheetViews>
  <sheetFormatPr defaultRowHeight="15" x14ac:dyDescent="0.25"/>
  <cols>
    <col min="1" max="1" width="10.7109375" style="14" customWidth="1"/>
    <col min="2" max="2" width="13.5703125" style="14" customWidth="1"/>
    <col min="3" max="12" width="10.7109375" style="14" bestFit="1" customWidth="1"/>
    <col min="13" max="13" width="10.7109375" style="14" customWidth="1"/>
    <col min="14" max="14" width="1.140625" style="14" customWidth="1"/>
    <col min="15" max="17" width="10.5703125" style="14" bestFit="1" customWidth="1"/>
    <col min="18" max="29" width="10.42578125" style="14" bestFit="1" customWidth="1"/>
    <col min="30" max="16384" width="9.140625" style="14"/>
  </cols>
  <sheetData>
    <row r="1" spans="1:21" x14ac:dyDescent="0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3"/>
    </row>
    <row r="2" spans="1:21" ht="21" x14ac:dyDescent="0.35">
      <c r="A2" s="15"/>
      <c r="B2" s="5" t="s">
        <v>32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  <c r="N2" s="13"/>
    </row>
    <row r="3" spans="1:21" ht="21" x14ac:dyDescent="0.35">
      <c r="A3" s="15"/>
      <c r="B3" s="6" t="s">
        <v>33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3"/>
    </row>
    <row r="4" spans="1:21" x14ac:dyDescent="0.2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13"/>
    </row>
    <row r="5" spans="1:21" x14ac:dyDescent="0.25">
      <c r="A5" s="15"/>
      <c r="B5" s="1" t="s">
        <v>25</v>
      </c>
      <c r="C5" s="18"/>
      <c r="D5" s="18"/>
      <c r="E5" s="18"/>
      <c r="F5" s="18"/>
      <c r="G5" s="18"/>
      <c r="H5" s="18"/>
      <c r="I5" s="18"/>
      <c r="J5" s="18"/>
      <c r="K5" s="18"/>
      <c r="L5" s="19"/>
      <c r="M5" s="17"/>
      <c r="N5" s="13"/>
    </row>
    <row r="6" spans="1:21" x14ac:dyDescent="0.25">
      <c r="A6" s="15"/>
      <c r="B6" s="2" t="s">
        <v>26</v>
      </c>
      <c r="C6" s="20"/>
      <c r="D6" s="20"/>
      <c r="E6" s="20"/>
      <c r="F6" s="20"/>
      <c r="G6" s="20"/>
      <c r="H6" s="20"/>
      <c r="I6" s="20"/>
      <c r="J6" s="20"/>
      <c r="K6" s="20"/>
      <c r="L6" s="21"/>
      <c r="M6" s="17"/>
      <c r="N6" s="13"/>
    </row>
    <row r="7" spans="1:21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  <c r="N7" s="13"/>
    </row>
    <row r="8" spans="1:21" x14ac:dyDescent="0.25">
      <c r="A8" s="15"/>
      <c r="B8" s="3" t="s">
        <v>27</v>
      </c>
      <c r="C8" s="8">
        <v>43683</v>
      </c>
      <c r="D8" s="8">
        <v>43688</v>
      </c>
      <c r="E8" s="8">
        <v>43691</v>
      </c>
      <c r="F8" s="8">
        <v>43695</v>
      </c>
      <c r="G8" s="8">
        <v>43698</v>
      </c>
      <c r="H8" s="8">
        <v>43700</v>
      </c>
      <c r="I8" s="8">
        <v>43704</v>
      </c>
      <c r="J8" s="8">
        <v>43706</v>
      </c>
      <c r="K8" s="8">
        <v>43711</v>
      </c>
      <c r="L8" s="8">
        <v>43714</v>
      </c>
      <c r="M8" s="17"/>
      <c r="N8" s="13"/>
    </row>
    <row r="9" spans="1:21" x14ac:dyDescent="0.25">
      <c r="A9" s="15"/>
      <c r="B9" s="3" t="s">
        <v>28</v>
      </c>
      <c r="C9" s="3" t="s">
        <v>5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3" t="s">
        <v>12</v>
      </c>
      <c r="J9" s="3" t="s">
        <v>13</v>
      </c>
      <c r="K9" s="3" t="s">
        <v>14</v>
      </c>
      <c r="L9" s="3" t="s">
        <v>15</v>
      </c>
      <c r="M9" s="17"/>
      <c r="N9" s="13"/>
    </row>
    <row r="10" spans="1:21" x14ac:dyDescent="0.25">
      <c r="A10" s="15"/>
      <c r="B10" s="3" t="s">
        <v>0</v>
      </c>
      <c r="C10" s="22">
        <v>18.48</v>
      </c>
      <c r="D10" s="22">
        <v>19.82</v>
      </c>
      <c r="E10" s="22">
        <v>24.55</v>
      </c>
      <c r="F10" s="22">
        <v>16.579999999999998</v>
      </c>
      <c r="G10" s="22">
        <v>27.85</v>
      </c>
      <c r="H10" s="22">
        <v>42.54</v>
      </c>
      <c r="I10" s="22">
        <v>38.65</v>
      </c>
      <c r="J10" s="22">
        <v>30.04</v>
      </c>
      <c r="K10" s="22">
        <v>42.97</v>
      </c>
      <c r="L10" s="22">
        <v>24.509999999999998</v>
      </c>
      <c r="M10" s="17"/>
      <c r="N10" s="13"/>
      <c r="P10" s="28"/>
      <c r="Q10" s="28"/>
      <c r="R10" s="28"/>
      <c r="S10" s="28"/>
      <c r="T10" s="28"/>
      <c r="U10" s="28"/>
    </row>
    <row r="11" spans="1:21" x14ac:dyDescent="0.25">
      <c r="A11" s="15"/>
      <c r="B11" s="3" t="s">
        <v>1</v>
      </c>
      <c r="C11" s="22">
        <v>18.34</v>
      </c>
      <c r="D11" s="22">
        <v>19.86</v>
      </c>
      <c r="E11" s="22">
        <v>25.03</v>
      </c>
      <c r="F11" s="22">
        <v>16.7</v>
      </c>
      <c r="G11" s="22">
        <v>27.92</v>
      </c>
      <c r="H11" s="22">
        <v>43.519999999999996</v>
      </c>
      <c r="I11" s="22">
        <v>38.230000000000004</v>
      </c>
      <c r="J11" s="22">
        <v>31.08</v>
      </c>
      <c r="K11" s="22">
        <v>41.75</v>
      </c>
      <c r="L11" s="22">
        <v>24.22</v>
      </c>
      <c r="M11" s="17"/>
      <c r="N11" s="13"/>
      <c r="P11" s="28"/>
      <c r="Q11" s="28"/>
      <c r="R11" s="28"/>
      <c r="S11" s="28"/>
      <c r="T11" s="28"/>
      <c r="U11" s="28"/>
    </row>
    <row r="12" spans="1:21" x14ac:dyDescent="0.25">
      <c r="A12" s="15"/>
      <c r="B12" s="3" t="s">
        <v>2</v>
      </c>
      <c r="C12" s="22">
        <v>18.240000000000002</v>
      </c>
      <c r="D12" s="22">
        <v>19.87</v>
      </c>
      <c r="E12" s="22">
        <v>25.86</v>
      </c>
      <c r="F12" s="22" t="s">
        <v>6</v>
      </c>
      <c r="G12" s="22">
        <v>28.16</v>
      </c>
      <c r="H12" s="22" t="s">
        <v>6</v>
      </c>
      <c r="I12" s="22">
        <v>40.129999999999995</v>
      </c>
      <c r="J12" s="22">
        <v>28.22</v>
      </c>
      <c r="K12" s="22">
        <v>43.379999999999995</v>
      </c>
      <c r="L12" s="22">
        <v>24.490000000000002</v>
      </c>
      <c r="M12" s="17"/>
      <c r="N12" s="13"/>
      <c r="P12" s="28"/>
      <c r="Q12" s="28"/>
      <c r="R12" s="28"/>
      <c r="S12" s="28"/>
      <c r="T12" s="28"/>
      <c r="U12" s="28"/>
    </row>
    <row r="13" spans="1:21" x14ac:dyDescent="0.25">
      <c r="A13" s="15"/>
      <c r="B13" s="3" t="s">
        <v>3</v>
      </c>
      <c r="C13" s="22" t="s">
        <v>6</v>
      </c>
      <c r="D13" s="22">
        <v>19.920000000000002</v>
      </c>
      <c r="E13" s="22" t="s">
        <v>6</v>
      </c>
      <c r="F13" s="22" t="s">
        <v>6</v>
      </c>
      <c r="G13" s="22" t="s">
        <v>6</v>
      </c>
      <c r="H13" s="22" t="s">
        <v>6</v>
      </c>
      <c r="I13" s="22">
        <v>39.69</v>
      </c>
      <c r="J13" s="22" t="s">
        <v>6</v>
      </c>
      <c r="K13" s="22">
        <v>42.29</v>
      </c>
      <c r="L13" s="22">
        <v>24.04</v>
      </c>
      <c r="M13" s="17"/>
      <c r="N13" s="13"/>
      <c r="P13" s="28"/>
      <c r="Q13" s="28"/>
      <c r="R13" s="28"/>
      <c r="S13" s="28"/>
      <c r="T13" s="28"/>
      <c r="U13" s="28"/>
    </row>
    <row r="14" spans="1:21" x14ac:dyDescent="0.25">
      <c r="A14" s="15"/>
      <c r="B14" s="3" t="s">
        <v>50</v>
      </c>
      <c r="C14" s="22">
        <f>COUNT(C10:C13)-1</f>
        <v>2</v>
      </c>
      <c r="D14" s="22">
        <f t="shared" ref="D14:L14" si="0">COUNT(D10:D13)-1</f>
        <v>3</v>
      </c>
      <c r="E14" s="22">
        <f t="shared" si="0"/>
        <v>2</v>
      </c>
      <c r="F14" s="22">
        <f t="shared" si="0"/>
        <v>1</v>
      </c>
      <c r="G14" s="22">
        <f t="shared" si="0"/>
        <v>2</v>
      </c>
      <c r="H14" s="22">
        <f t="shared" si="0"/>
        <v>1</v>
      </c>
      <c r="I14" s="22">
        <f t="shared" si="0"/>
        <v>3</v>
      </c>
      <c r="J14" s="22">
        <f t="shared" si="0"/>
        <v>2</v>
      </c>
      <c r="K14" s="22">
        <f t="shared" si="0"/>
        <v>3</v>
      </c>
      <c r="L14" s="22">
        <f t="shared" si="0"/>
        <v>3</v>
      </c>
      <c r="M14" s="17"/>
      <c r="N14" s="13"/>
      <c r="P14" s="28"/>
      <c r="Q14" s="28"/>
      <c r="R14" s="28"/>
      <c r="S14" s="28"/>
      <c r="T14" s="28"/>
      <c r="U14" s="28"/>
    </row>
    <row r="15" spans="1:21" x14ac:dyDescent="0.25">
      <c r="A15" s="15"/>
      <c r="B15" s="3" t="s">
        <v>51</v>
      </c>
      <c r="C15" s="22">
        <f>C14*(STDEV(C10:C13)^2)</f>
        <v>2.9066666666666324E-2</v>
      </c>
      <c r="D15" s="22">
        <f t="shared" ref="D15:L15" si="1">D14*(STDEV(D10:D13)^2)</f>
        <v>5.0750000000001662E-3</v>
      </c>
      <c r="E15" s="22">
        <f t="shared" si="1"/>
        <v>0.87846666666666484</v>
      </c>
      <c r="F15" s="22">
        <f t="shared" si="1"/>
        <v>7.2000000000001186E-3</v>
      </c>
      <c r="G15" s="22">
        <f t="shared" si="1"/>
        <v>5.286666666666618E-2</v>
      </c>
      <c r="H15" s="22">
        <f t="shared" si="1"/>
        <v>0.48019999999999691</v>
      </c>
      <c r="I15" s="22">
        <f t="shared" si="1"/>
        <v>2.3458999999999826</v>
      </c>
      <c r="J15" s="22">
        <f t="shared" si="1"/>
        <v>4.1911999999999976</v>
      </c>
      <c r="K15" s="22">
        <f t="shared" si="1"/>
        <v>1.5638749999999921</v>
      </c>
      <c r="L15" s="22">
        <f t="shared" si="1"/>
        <v>0.15330000000000063</v>
      </c>
      <c r="M15" s="17"/>
      <c r="N15" s="13"/>
      <c r="P15" s="28"/>
      <c r="Q15" s="28"/>
      <c r="R15" s="28"/>
      <c r="S15" s="28"/>
      <c r="T15" s="28"/>
      <c r="U15" s="28"/>
    </row>
    <row r="16" spans="1:21" x14ac:dyDescent="0.25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13"/>
    </row>
    <row r="17" spans="1:20" x14ac:dyDescent="0.25">
      <c r="A17" s="15"/>
      <c r="B17" s="3" t="s">
        <v>27</v>
      </c>
      <c r="C17" s="8">
        <v>43719</v>
      </c>
      <c r="D17" s="8">
        <v>43723</v>
      </c>
      <c r="E17" s="8">
        <v>43728</v>
      </c>
      <c r="F17" s="8">
        <v>43730</v>
      </c>
      <c r="G17" s="8">
        <v>43732</v>
      </c>
      <c r="H17" s="8">
        <v>43735</v>
      </c>
      <c r="I17" s="8">
        <v>43740</v>
      </c>
      <c r="J17" s="8">
        <v>43743</v>
      </c>
      <c r="K17" s="8">
        <v>43745</v>
      </c>
      <c r="L17" s="16"/>
      <c r="M17" s="17"/>
      <c r="N17" s="13"/>
    </row>
    <row r="18" spans="1:20" x14ac:dyDescent="0.25">
      <c r="A18" s="15"/>
      <c r="B18" s="3" t="s">
        <v>28</v>
      </c>
      <c r="C18" s="3" t="s">
        <v>16</v>
      </c>
      <c r="D18" s="3" t="s">
        <v>17</v>
      </c>
      <c r="E18" s="3" t="s">
        <v>18</v>
      </c>
      <c r="F18" s="3" t="s">
        <v>19</v>
      </c>
      <c r="G18" s="3" t="s">
        <v>20</v>
      </c>
      <c r="H18" s="3" t="s">
        <v>21</v>
      </c>
      <c r="I18" s="3" t="s">
        <v>22</v>
      </c>
      <c r="J18" s="3" t="s">
        <v>23</v>
      </c>
      <c r="K18" s="3" t="s">
        <v>24</v>
      </c>
      <c r="L18" s="16"/>
      <c r="M18" s="17"/>
      <c r="N18" s="13"/>
    </row>
    <row r="19" spans="1:20" x14ac:dyDescent="0.25">
      <c r="A19" s="15"/>
      <c r="B19" s="3" t="s">
        <v>0</v>
      </c>
      <c r="C19" s="22">
        <v>29.880000000000003</v>
      </c>
      <c r="D19" s="22">
        <v>36.94</v>
      </c>
      <c r="E19" s="22">
        <v>41.29</v>
      </c>
      <c r="F19" s="22">
        <v>24.83</v>
      </c>
      <c r="G19" s="22">
        <v>39.739999999999995</v>
      </c>
      <c r="H19" s="22">
        <v>24.66</v>
      </c>
      <c r="I19" s="22">
        <v>38.450000000000003</v>
      </c>
      <c r="J19" s="22">
        <v>23.32</v>
      </c>
      <c r="K19" s="22">
        <v>16.23</v>
      </c>
      <c r="L19" s="16"/>
      <c r="M19" s="17"/>
      <c r="N19" s="13"/>
    </row>
    <row r="20" spans="1:20" x14ac:dyDescent="0.25">
      <c r="A20" s="15"/>
      <c r="B20" s="3" t="s">
        <v>1</v>
      </c>
      <c r="C20" s="22">
        <v>30.619999999999997</v>
      </c>
      <c r="D20" s="22">
        <v>38.409999999999997</v>
      </c>
      <c r="E20" s="22">
        <v>41.68</v>
      </c>
      <c r="F20" s="22">
        <v>25.47</v>
      </c>
      <c r="G20" s="22">
        <v>38.36</v>
      </c>
      <c r="H20" s="22">
        <v>25.689999999999998</v>
      </c>
      <c r="I20" s="22">
        <v>37.68</v>
      </c>
      <c r="J20" s="22">
        <v>23.07</v>
      </c>
      <c r="K20" s="22">
        <v>16.23</v>
      </c>
      <c r="L20" s="47" t="s">
        <v>52</v>
      </c>
      <c r="M20" s="48">
        <f>SQRT(SUM(C15:L15,C24:K24)/SUM(C14:L14,C23:K23))</f>
        <v>0.63508795588619871</v>
      </c>
      <c r="N20" s="49"/>
      <c r="O20" s="50" t="s">
        <v>53</v>
      </c>
    </row>
    <row r="21" spans="1:20" x14ac:dyDescent="0.25">
      <c r="A21" s="15"/>
      <c r="B21" s="3" t="s">
        <v>2</v>
      </c>
      <c r="C21" s="22" t="s">
        <v>6</v>
      </c>
      <c r="D21" s="22">
        <v>37.54</v>
      </c>
      <c r="E21" s="22" t="s">
        <v>6</v>
      </c>
      <c r="F21" s="22" t="s">
        <v>6</v>
      </c>
      <c r="G21" s="22">
        <v>38.590000000000003</v>
      </c>
      <c r="H21" s="22">
        <v>23.8</v>
      </c>
      <c r="I21" s="22">
        <v>38.79</v>
      </c>
      <c r="J21" s="22" t="s">
        <v>6</v>
      </c>
      <c r="K21" s="22">
        <v>16.32</v>
      </c>
      <c r="L21" s="16"/>
      <c r="M21" s="17"/>
      <c r="N21" s="13"/>
    </row>
    <row r="22" spans="1:20" x14ac:dyDescent="0.25">
      <c r="A22" s="15"/>
      <c r="B22" s="3" t="s">
        <v>3</v>
      </c>
      <c r="C22" s="22" t="s">
        <v>6</v>
      </c>
      <c r="D22" s="22" t="s">
        <v>6</v>
      </c>
      <c r="E22" s="22" t="s">
        <v>6</v>
      </c>
      <c r="F22" s="22" t="s">
        <v>6</v>
      </c>
      <c r="G22" s="22" t="s">
        <v>6</v>
      </c>
      <c r="H22" s="22">
        <v>24.759999999999998</v>
      </c>
      <c r="I22" s="22" t="s">
        <v>6</v>
      </c>
      <c r="J22" s="22" t="s">
        <v>6</v>
      </c>
      <c r="K22" s="22" t="s">
        <v>6</v>
      </c>
      <c r="L22" s="16"/>
      <c r="M22" s="17"/>
      <c r="N22" s="13"/>
    </row>
    <row r="23" spans="1:20" x14ac:dyDescent="0.25">
      <c r="A23" s="15"/>
      <c r="B23" s="3" t="s">
        <v>50</v>
      </c>
      <c r="C23" s="22">
        <f>COUNT(C19:C22)-1</f>
        <v>1</v>
      </c>
      <c r="D23" s="22">
        <f t="shared" ref="D23" si="2">COUNT(D19:D22)-1</f>
        <v>2</v>
      </c>
      <c r="E23" s="22">
        <f t="shared" ref="E23" si="3">COUNT(E19:E22)-1</f>
        <v>1</v>
      </c>
      <c r="F23" s="22">
        <f t="shared" ref="F23" si="4">COUNT(F19:F22)-1</f>
        <v>1</v>
      </c>
      <c r="G23" s="22">
        <f t="shared" ref="G23" si="5">COUNT(G19:G22)-1</f>
        <v>2</v>
      </c>
      <c r="H23" s="22">
        <f t="shared" ref="H23" si="6">COUNT(H19:H22)-1</f>
        <v>3</v>
      </c>
      <c r="I23" s="22">
        <f t="shared" ref="I23" si="7">COUNT(I19:I22)-1</f>
        <v>2</v>
      </c>
      <c r="J23" s="22">
        <f t="shared" ref="J23" si="8">COUNT(J19:J22)-1</f>
        <v>1</v>
      </c>
      <c r="K23" s="22">
        <f t="shared" ref="K23" si="9">COUNT(K19:K22)-1</f>
        <v>2</v>
      </c>
      <c r="L23" s="16"/>
      <c r="M23" s="17"/>
      <c r="N23" s="13"/>
    </row>
    <row r="24" spans="1:20" x14ac:dyDescent="0.25">
      <c r="A24" s="15"/>
      <c r="B24" s="3" t="s">
        <v>51</v>
      </c>
      <c r="C24" s="22">
        <f>C23*(STDEV(C19:C22)^2)</f>
        <v>0.27379999999999621</v>
      </c>
      <c r="D24" s="22">
        <f t="shared" ref="D24" si="10">D23*(STDEV(D19:D22)^2)</f>
        <v>1.092599999999998</v>
      </c>
      <c r="E24" s="22">
        <f t="shared" ref="E24" si="11">E23*(STDEV(E19:E22)^2)</f>
        <v>7.6050000000000229E-2</v>
      </c>
      <c r="F24" s="22">
        <f t="shared" ref="F24" si="12">F23*(STDEV(F19:F22)^2)</f>
        <v>0.20480000000000037</v>
      </c>
      <c r="G24" s="22">
        <f t="shared" ref="G24" si="13">G23*(STDEV(G19:G22)^2)</f>
        <v>1.0932666666666566</v>
      </c>
      <c r="H24" s="22">
        <f t="shared" ref="H24" si="14">H23*(STDEV(H19:H22)^2)</f>
        <v>1.7922749999999936</v>
      </c>
      <c r="I24" s="22">
        <f t="shared" ref="I24" si="15">I23*(STDEV(I19:I22)^2)</f>
        <v>0.64686666666666703</v>
      </c>
      <c r="J24" s="22">
        <f t="shared" ref="J24" si="16">J23*(STDEV(J19:J22)^2)</f>
        <v>3.1250000000000007E-2</v>
      </c>
      <c r="K24" s="22">
        <f t="shared" ref="K24" si="17">K23*(STDEV(K19:K22)^2)</f>
        <v>5.3999999999999829E-3</v>
      </c>
      <c r="L24" s="16"/>
      <c r="M24" s="17"/>
      <c r="N24" s="13"/>
    </row>
    <row r="25" spans="1:20" x14ac:dyDescent="0.2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  <c r="N25" s="13"/>
    </row>
    <row r="26" spans="1:20" x14ac:dyDescent="0.25">
      <c r="A26" s="15"/>
      <c r="B26" s="24"/>
      <c r="C26" s="3" t="s">
        <v>27</v>
      </c>
      <c r="D26" s="8">
        <v>43683</v>
      </c>
      <c r="E26" s="8">
        <v>43688</v>
      </c>
      <c r="F26" s="8">
        <v>43691</v>
      </c>
      <c r="G26" s="8">
        <v>43695</v>
      </c>
      <c r="H26" s="8">
        <v>43698</v>
      </c>
      <c r="I26" s="8">
        <v>43700</v>
      </c>
      <c r="J26" s="8">
        <v>43704</v>
      </c>
      <c r="K26" s="8">
        <v>43706</v>
      </c>
      <c r="L26" s="8">
        <v>43711</v>
      </c>
      <c r="M26" s="17"/>
      <c r="N26" s="13"/>
    </row>
    <row r="27" spans="1:20" x14ac:dyDescent="0.25">
      <c r="A27" s="15"/>
      <c r="B27" s="3" t="s">
        <v>28</v>
      </c>
      <c r="C27" s="3" t="s">
        <v>4</v>
      </c>
      <c r="D27" s="22">
        <v>25.42</v>
      </c>
      <c r="E27" s="22">
        <v>27.689999999999998</v>
      </c>
      <c r="F27" s="22">
        <v>24.25</v>
      </c>
      <c r="G27" s="22">
        <v>25.33</v>
      </c>
      <c r="H27" s="22">
        <v>22.93</v>
      </c>
      <c r="I27" s="22">
        <v>26.47</v>
      </c>
      <c r="J27" s="22">
        <v>23.380000000000003</v>
      </c>
      <c r="K27" s="22">
        <v>27.119999999999997</v>
      </c>
      <c r="L27" s="22">
        <v>24.939999999999998</v>
      </c>
      <c r="M27" s="17"/>
      <c r="N27" s="13"/>
      <c r="P27" s="28"/>
      <c r="Q27" s="28"/>
      <c r="R27" s="28"/>
      <c r="S27" s="28"/>
      <c r="T27" s="28"/>
    </row>
    <row r="28" spans="1:20" x14ac:dyDescent="0.25">
      <c r="A28" s="15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17"/>
      <c r="N28" s="13"/>
    </row>
    <row r="29" spans="1:20" x14ac:dyDescent="0.25">
      <c r="A29" s="15"/>
      <c r="B29" s="24"/>
      <c r="C29" s="3" t="s">
        <v>27</v>
      </c>
      <c r="D29" s="8">
        <v>43714</v>
      </c>
      <c r="E29" s="8">
        <v>43719</v>
      </c>
      <c r="F29" s="8">
        <v>43723</v>
      </c>
      <c r="G29" s="8">
        <v>43728</v>
      </c>
      <c r="H29" s="8">
        <v>43730</v>
      </c>
      <c r="I29" s="8">
        <v>43732</v>
      </c>
      <c r="J29" s="8">
        <v>43735</v>
      </c>
      <c r="K29" s="8">
        <v>43740</v>
      </c>
      <c r="L29" s="8">
        <v>43743</v>
      </c>
      <c r="M29" s="17"/>
      <c r="N29" s="13"/>
    </row>
    <row r="30" spans="1:20" x14ac:dyDescent="0.25">
      <c r="A30" s="15"/>
      <c r="B30" s="3" t="s">
        <v>28</v>
      </c>
      <c r="C30" s="3" t="s">
        <v>4</v>
      </c>
      <c r="D30" s="22">
        <v>25.79</v>
      </c>
      <c r="E30" s="22">
        <v>25.21</v>
      </c>
      <c r="F30" s="22">
        <v>25.54</v>
      </c>
      <c r="G30" s="22">
        <v>24.990000000000002</v>
      </c>
      <c r="H30" s="22">
        <v>27.04</v>
      </c>
      <c r="I30" s="22">
        <v>28.55</v>
      </c>
      <c r="J30" s="22">
        <v>25.59</v>
      </c>
      <c r="K30" s="22">
        <v>25.990000000000002</v>
      </c>
      <c r="L30" s="22">
        <v>22.53</v>
      </c>
      <c r="M30" s="17"/>
      <c r="N30" s="13"/>
      <c r="P30" s="28"/>
      <c r="Q30" s="28"/>
      <c r="R30" s="28"/>
      <c r="S30" s="28"/>
      <c r="T30" s="28"/>
    </row>
    <row r="31" spans="1:20" x14ac:dyDescent="0.25">
      <c r="A31" s="15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17"/>
      <c r="N31" s="13"/>
    </row>
    <row r="32" spans="1:20" x14ac:dyDescent="0.25">
      <c r="A32" s="15"/>
      <c r="B32" s="24"/>
      <c r="C32" s="3" t="s">
        <v>27</v>
      </c>
      <c r="D32" s="8">
        <v>43745</v>
      </c>
      <c r="E32" s="8">
        <v>43750</v>
      </c>
      <c r="F32" s="8">
        <v>43754</v>
      </c>
      <c r="G32" s="8">
        <v>43757</v>
      </c>
      <c r="H32" s="8">
        <v>43762</v>
      </c>
      <c r="I32" s="8">
        <v>43764</v>
      </c>
      <c r="J32" s="8">
        <v>43769</v>
      </c>
      <c r="K32" s="8">
        <v>43772</v>
      </c>
      <c r="L32" s="8">
        <v>43774</v>
      </c>
      <c r="M32" s="17"/>
      <c r="N32" s="13"/>
    </row>
    <row r="33" spans="1:20" x14ac:dyDescent="0.25">
      <c r="A33" s="15"/>
      <c r="B33" s="3" t="s">
        <v>28</v>
      </c>
      <c r="C33" s="3" t="s">
        <v>4</v>
      </c>
      <c r="D33" s="22">
        <v>24.23</v>
      </c>
      <c r="E33" s="22">
        <v>25.55</v>
      </c>
      <c r="F33" s="22">
        <v>24.4</v>
      </c>
      <c r="G33" s="22">
        <v>27.54</v>
      </c>
      <c r="H33" s="22">
        <v>26.93</v>
      </c>
      <c r="I33" s="22">
        <v>24.380000000000003</v>
      </c>
      <c r="J33" s="22">
        <v>24</v>
      </c>
      <c r="K33" s="22">
        <v>23.009999999999998</v>
      </c>
      <c r="L33" s="22">
        <v>25.42</v>
      </c>
      <c r="M33" s="17"/>
      <c r="N33" s="13"/>
      <c r="P33" s="28"/>
      <c r="Q33" s="28"/>
      <c r="R33" s="28"/>
      <c r="S33" s="28"/>
      <c r="T33" s="28"/>
    </row>
    <row r="34" spans="1:20" x14ac:dyDescent="0.25">
      <c r="A34" s="15"/>
      <c r="B34" s="23" t="s">
        <v>34</v>
      </c>
      <c r="C34" s="16"/>
      <c r="D34" s="16"/>
      <c r="E34" s="16"/>
      <c r="F34" s="16"/>
      <c r="G34" s="51" t="s">
        <v>71</v>
      </c>
      <c r="H34" s="51">
        <f>STDEV(D27:L27,D30:L30,D33:L33)</f>
        <v>1.5268058757864997</v>
      </c>
      <c r="I34" s="28"/>
      <c r="J34" s="28"/>
      <c r="K34" s="28"/>
      <c r="L34" s="28"/>
      <c r="M34" s="17"/>
      <c r="N34" s="13"/>
    </row>
    <row r="35" spans="1:20" x14ac:dyDescent="0.25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7"/>
      <c r="N35" s="13"/>
    </row>
    <row r="36" spans="1:20" x14ac:dyDescent="0.25">
      <c r="A36" s="15"/>
      <c r="B36" s="1" t="s">
        <v>29</v>
      </c>
      <c r="C36" s="18"/>
      <c r="D36" s="18"/>
      <c r="E36" s="18"/>
      <c r="F36" s="18"/>
      <c r="G36" s="18"/>
      <c r="H36" s="18"/>
      <c r="I36" s="18"/>
      <c r="J36" s="18"/>
      <c r="K36" s="18"/>
      <c r="L36" s="19"/>
      <c r="M36" s="17"/>
      <c r="N36" s="13"/>
    </row>
    <row r="37" spans="1:20" x14ac:dyDescent="0.25">
      <c r="A37" s="15"/>
      <c r="B37" s="2" t="s">
        <v>30</v>
      </c>
      <c r="C37" s="20"/>
      <c r="D37" s="20"/>
      <c r="E37" s="20"/>
      <c r="F37" s="20"/>
      <c r="G37" s="20"/>
      <c r="H37" s="20"/>
      <c r="I37" s="20"/>
      <c r="J37" s="20"/>
      <c r="K37" s="20"/>
      <c r="L37" s="21"/>
      <c r="M37" s="17"/>
      <c r="N37" s="13"/>
    </row>
    <row r="38" spans="1:20" x14ac:dyDescent="0.25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7"/>
      <c r="N38" s="13"/>
    </row>
    <row r="39" spans="1:20" x14ac:dyDescent="0.25">
      <c r="A39" s="15"/>
      <c r="B39" s="3" t="s">
        <v>27</v>
      </c>
      <c r="C39" s="4" t="s">
        <v>31</v>
      </c>
      <c r="D39" s="3" t="s">
        <v>27</v>
      </c>
      <c r="E39" s="4" t="s">
        <v>31</v>
      </c>
      <c r="F39" s="3" t="s">
        <v>27</v>
      </c>
      <c r="G39" s="4" t="s">
        <v>31</v>
      </c>
      <c r="M39" s="17"/>
      <c r="N39" s="13"/>
    </row>
    <row r="40" spans="1:20" x14ac:dyDescent="0.25">
      <c r="A40" s="15"/>
      <c r="B40" s="4">
        <v>43683</v>
      </c>
      <c r="C40" s="9">
        <v>17.88</v>
      </c>
      <c r="D40" s="4">
        <v>43719</v>
      </c>
      <c r="E40" s="9">
        <v>19.36</v>
      </c>
      <c r="F40" s="4">
        <v>43754</v>
      </c>
      <c r="G40" s="9">
        <v>19.03</v>
      </c>
      <c r="M40" s="17"/>
      <c r="N40" s="13"/>
      <c r="P40" s="28"/>
    </row>
    <row r="41" spans="1:20" x14ac:dyDescent="0.25">
      <c r="A41" s="15"/>
      <c r="B41" s="4">
        <v>43688</v>
      </c>
      <c r="C41" s="9">
        <v>18.009999999999998</v>
      </c>
      <c r="D41" s="4">
        <v>43723</v>
      </c>
      <c r="E41" s="9">
        <v>19.28</v>
      </c>
      <c r="F41" s="4">
        <v>43757</v>
      </c>
      <c r="G41" s="9">
        <v>18.3</v>
      </c>
      <c r="M41" s="17"/>
      <c r="N41" s="13"/>
      <c r="P41" s="28"/>
    </row>
    <row r="42" spans="1:20" x14ac:dyDescent="0.25">
      <c r="A42" s="15"/>
      <c r="B42" s="4">
        <v>43691</v>
      </c>
      <c r="C42" s="9">
        <v>18.38</v>
      </c>
      <c r="D42" s="4">
        <v>43728</v>
      </c>
      <c r="E42" s="9">
        <v>18.240000000000002</v>
      </c>
      <c r="F42" s="4">
        <v>43762</v>
      </c>
      <c r="G42" s="9">
        <v>18.940000000000001</v>
      </c>
      <c r="M42" s="17"/>
      <c r="N42" s="13"/>
      <c r="P42" s="28"/>
    </row>
    <row r="43" spans="1:20" x14ac:dyDescent="0.25">
      <c r="A43" s="15"/>
      <c r="B43" s="4">
        <v>43695</v>
      </c>
      <c r="C43" s="9">
        <v>17.96</v>
      </c>
      <c r="D43" s="4">
        <v>43730</v>
      </c>
      <c r="E43" s="9">
        <v>17.559999999999999</v>
      </c>
      <c r="F43" s="4">
        <v>43764</v>
      </c>
      <c r="G43" s="9">
        <v>18.2</v>
      </c>
      <c r="M43" s="17"/>
      <c r="N43" s="13"/>
      <c r="P43" s="28"/>
    </row>
    <row r="44" spans="1:20" x14ac:dyDescent="0.25">
      <c r="A44" s="15"/>
      <c r="B44" s="4">
        <v>43698</v>
      </c>
      <c r="C44" s="9">
        <v>17.79</v>
      </c>
      <c r="D44" s="4">
        <v>43732</v>
      </c>
      <c r="E44" s="9">
        <v>18.809999999999999</v>
      </c>
      <c r="F44" s="4">
        <v>43769</v>
      </c>
      <c r="G44" s="9">
        <v>18.88</v>
      </c>
      <c r="M44" s="17"/>
      <c r="N44" s="13"/>
      <c r="P44" s="28"/>
    </row>
    <row r="45" spans="1:20" x14ac:dyDescent="0.25">
      <c r="A45" s="15"/>
      <c r="B45" s="4">
        <v>43700</v>
      </c>
      <c r="C45" s="9">
        <v>18.48</v>
      </c>
      <c r="D45" s="4">
        <v>43735</v>
      </c>
      <c r="E45" s="9">
        <v>19.350000000000001</v>
      </c>
      <c r="F45" s="4">
        <v>43772</v>
      </c>
      <c r="G45" s="9">
        <v>18.48</v>
      </c>
      <c r="M45" s="17"/>
      <c r="N45" s="13"/>
      <c r="P45" s="28"/>
    </row>
    <row r="46" spans="1:20" x14ac:dyDescent="0.25">
      <c r="A46" s="15"/>
      <c r="B46" s="4">
        <v>43704</v>
      </c>
      <c r="C46" s="9">
        <v>18.809999999999999</v>
      </c>
      <c r="D46" s="4">
        <v>43740</v>
      </c>
      <c r="E46" s="9">
        <v>19</v>
      </c>
      <c r="F46" s="4">
        <v>43774</v>
      </c>
      <c r="G46" s="9">
        <v>18.55</v>
      </c>
      <c r="M46" s="17"/>
      <c r="N46" s="13"/>
      <c r="P46" s="28"/>
    </row>
    <row r="47" spans="1:20" x14ac:dyDescent="0.25">
      <c r="A47" s="15"/>
      <c r="B47" s="4">
        <v>43706</v>
      </c>
      <c r="C47" s="9">
        <v>19.14</v>
      </c>
      <c r="D47" s="4">
        <v>43743</v>
      </c>
      <c r="E47" s="9">
        <v>18.52</v>
      </c>
      <c r="F47" s="4">
        <v>43776</v>
      </c>
      <c r="G47" s="9">
        <v>19.240000000000002</v>
      </c>
      <c r="M47" s="17"/>
      <c r="N47" s="13"/>
      <c r="P47" s="28"/>
    </row>
    <row r="48" spans="1:20" x14ac:dyDescent="0.25">
      <c r="A48" s="15"/>
      <c r="B48" s="4">
        <v>43711</v>
      </c>
      <c r="C48" s="9">
        <v>18.64</v>
      </c>
      <c r="D48" s="4">
        <v>43745</v>
      </c>
      <c r="E48" s="9">
        <v>18.329999999999998</v>
      </c>
      <c r="F48" s="4">
        <v>43781</v>
      </c>
      <c r="G48" s="9">
        <v>18.64</v>
      </c>
      <c r="M48" s="17"/>
      <c r="N48" s="13"/>
      <c r="P48" s="28"/>
    </row>
    <row r="49" spans="1:16" x14ac:dyDescent="0.25">
      <c r="A49" s="15"/>
      <c r="B49" s="4">
        <v>43714</v>
      </c>
      <c r="C49" s="9">
        <v>18.940000000000001</v>
      </c>
      <c r="D49" s="4">
        <v>43750</v>
      </c>
      <c r="E49" s="9">
        <v>18.5</v>
      </c>
      <c r="F49" s="4">
        <v>43785</v>
      </c>
      <c r="G49" s="9">
        <v>19.41</v>
      </c>
      <c r="M49" s="17"/>
      <c r="N49" s="13"/>
      <c r="P49" s="28"/>
    </row>
    <row r="50" spans="1:16" x14ac:dyDescent="0.25">
      <c r="A50" s="15"/>
      <c r="B50" s="7" t="s">
        <v>35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7"/>
      <c r="N50" s="13"/>
    </row>
    <row r="51" spans="1:16" x14ac:dyDescent="0.25">
      <c r="A51" s="2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7"/>
      <c r="N51" s="13"/>
    </row>
    <row r="52" spans="1:16" ht="7.5" customHeight="1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</sheetData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Header>&amp;LAnexo/ Annex</oddHeader>
    <oddFooter>&amp;C1/1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29640-72C3-4E5A-9645-8107C4001434}">
  <dimension ref="D20:J28"/>
  <sheetViews>
    <sheetView workbookViewId="0">
      <selection activeCell="C24" sqref="C24"/>
    </sheetView>
  </sheetViews>
  <sheetFormatPr defaultRowHeight="15" x14ac:dyDescent="0.25"/>
  <sheetData>
    <row r="20" spans="4:10" x14ac:dyDescent="0.25">
      <c r="D20" s="29"/>
      <c r="E20" s="30"/>
      <c r="F20" s="30"/>
      <c r="G20" s="31"/>
    </row>
    <row r="21" spans="4:10" x14ac:dyDescent="0.25">
      <c r="D21" s="32"/>
      <c r="E21" s="33" t="s">
        <v>36</v>
      </c>
      <c r="F21" s="33">
        <v>15</v>
      </c>
      <c r="G21" s="34" t="s">
        <v>37</v>
      </c>
    </row>
    <row r="22" spans="4:10" x14ac:dyDescent="0.25">
      <c r="D22" s="32"/>
      <c r="E22" s="35" t="s">
        <v>38</v>
      </c>
      <c r="F22" s="33">
        <v>50.015500000000003</v>
      </c>
      <c r="G22" s="34" t="s">
        <v>37</v>
      </c>
    </row>
    <row r="23" spans="4:10" x14ac:dyDescent="0.25">
      <c r="D23" s="32"/>
      <c r="E23" s="33"/>
      <c r="F23" s="33"/>
      <c r="G23" s="34"/>
    </row>
    <row r="24" spans="4:10" x14ac:dyDescent="0.25">
      <c r="D24" s="32"/>
      <c r="E24" s="33" t="s">
        <v>36</v>
      </c>
      <c r="F24" s="33">
        <v>15</v>
      </c>
      <c r="G24" s="34" t="s">
        <v>37</v>
      </c>
    </row>
    <row r="25" spans="4:10" x14ac:dyDescent="0.25">
      <c r="D25" s="32"/>
      <c r="E25" s="33" t="s">
        <v>39</v>
      </c>
      <c r="F25" s="33">
        <f>F22+F21</f>
        <v>65.015500000000003</v>
      </c>
      <c r="G25" s="34" t="s">
        <v>37</v>
      </c>
      <c r="I25" t="s">
        <v>40</v>
      </c>
      <c r="J25" s="39">
        <f>SQRT((0.0005/SQRT(3))^2+(0.0007)^2+(0.002/SQRT(3))^2+(0.0015)^2)</f>
        <v>2.0387904911164036E-3</v>
      </c>
    </row>
    <row r="26" spans="4:10" x14ac:dyDescent="0.25">
      <c r="D26" s="36"/>
      <c r="E26" s="37"/>
      <c r="F26" s="37"/>
      <c r="G26" s="38"/>
      <c r="I26" t="s">
        <v>41</v>
      </c>
      <c r="J26">
        <f>2*J25</f>
        <v>4.0775809822328072E-3</v>
      </c>
    </row>
    <row r="28" spans="4:10" x14ac:dyDescent="0.25">
      <c r="I28" t="s">
        <v>42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404F1-5704-4430-AFA7-FAC5C66703D2}">
  <dimension ref="D11:J18"/>
  <sheetViews>
    <sheetView workbookViewId="0">
      <selection activeCell="J14" sqref="J14"/>
    </sheetView>
  </sheetViews>
  <sheetFormatPr defaultRowHeight="15" x14ac:dyDescent="0.25"/>
  <cols>
    <col min="8" max="8" width="10" bestFit="1" customWidth="1"/>
  </cols>
  <sheetData>
    <row r="11" spans="4:10" x14ac:dyDescent="0.25">
      <c r="D11" t="s">
        <v>43</v>
      </c>
      <c r="E11">
        <v>100</v>
      </c>
      <c r="F11" t="s">
        <v>44</v>
      </c>
    </row>
    <row r="13" spans="4:10" x14ac:dyDescent="0.25">
      <c r="D13" t="s">
        <v>45</v>
      </c>
      <c r="E13">
        <f>SQRT((0.1/SQRT(3))^2+(100*(0.14)/100)^2+0*((100*4*0.207*10^(-4))/SQRT(3))^2)</f>
        <v>0.15143755588800731</v>
      </c>
      <c r="G13">
        <f>SQRT((0.1/SQRT(3))^2+(100*(0.14)/100)^2+((100*4*0.207*10^(-4))/SQRT(3))^2)</f>
        <v>0.15151298998215743</v>
      </c>
      <c r="I13" s="42">
        <f>ABS(E13-G13)/AVERAGE(E13,G13)</f>
        <v>4.9799609327950316E-4</v>
      </c>
    </row>
    <row r="14" spans="4:10" x14ac:dyDescent="0.25">
      <c r="J14" s="39"/>
    </row>
    <row r="15" spans="4:10" x14ac:dyDescent="0.25">
      <c r="D15" t="s">
        <v>46</v>
      </c>
      <c r="E15">
        <f>E13*3</f>
        <v>0.4543126676640219</v>
      </c>
    </row>
    <row r="16" spans="4:10" x14ac:dyDescent="0.25">
      <c r="E16" t="s">
        <v>48</v>
      </c>
    </row>
    <row r="18" spans="6:6" x14ac:dyDescent="0.25">
      <c r="F18" s="40" t="s">
        <v>47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2A310-C621-4BFC-9CC7-BF1A9CFE5808}">
  <dimension ref="N5:U21"/>
  <sheetViews>
    <sheetView workbookViewId="0">
      <selection activeCell="T21" sqref="T21"/>
    </sheetView>
  </sheetViews>
  <sheetFormatPr defaultRowHeight="15" x14ac:dyDescent="0.25"/>
  <sheetData>
    <row r="5" spans="14:21" x14ac:dyDescent="0.25">
      <c r="N5" t="s">
        <v>52</v>
      </c>
      <c r="O5">
        <v>0.63508795588619871</v>
      </c>
      <c r="Q5" t="s">
        <v>53</v>
      </c>
    </row>
    <row r="8" spans="14:21" x14ac:dyDescent="0.25">
      <c r="T8" t="s">
        <v>54</v>
      </c>
      <c r="U8">
        <f>O5*4.358</f>
        <v>2.7677133117520536</v>
      </c>
    </row>
    <row r="11" spans="14:21" x14ac:dyDescent="0.25">
      <c r="T11" t="s">
        <v>55</v>
      </c>
      <c r="U11">
        <f>3.469*O5</f>
        <v>2.2031201189692231</v>
      </c>
    </row>
    <row r="15" spans="14:21" x14ac:dyDescent="0.25">
      <c r="T15" t="s">
        <v>54</v>
      </c>
      <c r="U15">
        <f>1.693*O5</f>
        <v>1.0752039093153345</v>
      </c>
    </row>
    <row r="21" spans="20:20" x14ac:dyDescent="0.25">
      <c r="T21" s="39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166B7-72F9-4E7E-B440-F051418CA297}">
  <dimension ref="R7:AB33"/>
  <sheetViews>
    <sheetView topLeftCell="G13" zoomScaleNormal="100" workbookViewId="0">
      <selection activeCell="S30" sqref="S30"/>
    </sheetView>
  </sheetViews>
  <sheetFormatPr defaultRowHeight="15" x14ac:dyDescent="0.25"/>
  <sheetData>
    <row r="7" spans="18:28" x14ac:dyDescent="0.25">
      <c r="R7" s="1" t="s">
        <v>29</v>
      </c>
      <c r="S7" s="18"/>
      <c r="T7" s="18"/>
      <c r="U7" s="18"/>
      <c r="V7" s="18"/>
      <c r="W7" s="18"/>
      <c r="X7" s="18"/>
      <c r="Y7" s="18"/>
      <c r="Z7" s="18"/>
      <c r="AA7" s="18"/>
      <c r="AB7" s="19"/>
    </row>
    <row r="8" spans="18:28" x14ac:dyDescent="0.25">
      <c r="R8" s="2" t="s">
        <v>30</v>
      </c>
      <c r="S8" s="20"/>
      <c r="T8" s="20"/>
      <c r="U8" s="20"/>
      <c r="V8" s="20"/>
      <c r="W8" s="20"/>
      <c r="X8" s="20"/>
      <c r="Y8" s="20"/>
      <c r="Z8" s="20"/>
      <c r="AA8" s="20"/>
      <c r="AB8" s="21"/>
    </row>
    <row r="9" spans="18:28" x14ac:dyDescent="0.25"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8:28" x14ac:dyDescent="0.25">
      <c r="R10" s="3" t="s">
        <v>27</v>
      </c>
      <c r="S10" s="4" t="s">
        <v>31</v>
      </c>
      <c r="T10" s="3" t="s">
        <v>27</v>
      </c>
      <c r="U10" s="4" t="s">
        <v>31</v>
      </c>
      <c r="V10" s="3" t="s">
        <v>27</v>
      </c>
      <c r="W10" s="4" t="s">
        <v>31</v>
      </c>
      <c r="X10" s="14"/>
      <c r="Y10" s="14"/>
      <c r="Z10" s="14"/>
      <c r="AA10" s="14"/>
      <c r="AB10" s="14"/>
    </row>
    <row r="11" spans="18:28" x14ac:dyDescent="0.25">
      <c r="R11" s="4">
        <v>43683</v>
      </c>
      <c r="S11" s="9">
        <v>17.88</v>
      </c>
      <c r="T11" s="4">
        <v>43719</v>
      </c>
      <c r="U11" s="9">
        <v>19.36</v>
      </c>
      <c r="V11" s="4">
        <v>43754</v>
      </c>
      <c r="W11" s="9">
        <v>19.03</v>
      </c>
      <c r="X11" s="14"/>
      <c r="Y11" s="14"/>
      <c r="Z11" s="14"/>
      <c r="AA11" s="14"/>
      <c r="AB11" s="14"/>
    </row>
    <row r="12" spans="18:28" x14ac:dyDescent="0.25">
      <c r="R12" s="4">
        <v>43688</v>
      </c>
      <c r="S12" s="9">
        <v>18.009999999999998</v>
      </c>
      <c r="T12" s="4">
        <v>43723</v>
      </c>
      <c r="U12" s="9">
        <v>19.28</v>
      </c>
      <c r="V12" s="4">
        <v>43757</v>
      </c>
      <c r="W12" s="9">
        <v>18.3</v>
      </c>
      <c r="X12" s="14"/>
      <c r="Y12" s="14"/>
      <c r="Z12" s="14"/>
      <c r="AA12" s="14"/>
      <c r="AB12" s="14"/>
    </row>
    <row r="13" spans="18:28" x14ac:dyDescent="0.25">
      <c r="R13" s="4">
        <v>43691</v>
      </c>
      <c r="S13" s="9">
        <v>18.38</v>
      </c>
      <c r="T13" s="4">
        <v>43728</v>
      </c>
      <c r="U13" s="9">
        <v>18.240000000000002</v>
      </c>
      <c r="V13" s="4">
        <v>43762</v>
      </c>
      <c r="W13" s="9">
        <v>18.940000000000001</v>
      </c>
      <c r="X13" s="14"/>
      <c r="Y13" s="14"/>
      <c r="Z13" s="14"/>
      <c r="AA13" s="14"/>
      <c r="AB13" s="14"/>
    </row>
    <row r="14" spans="18:28" x14ac:dyDescent="0.25">
      <c r="R14" s="4">
        <v>43695</v>
      </c>
      <c r="S14" s="9">
        <v>17.96</v>
      </c>
      <c r="T14" s="4">
        <v>43730</v>
      </c>
      <c r="U14" s="9">
        <v>17.559999999999999</v>
      </c>
      <c r="V14" s="4">
        <v>43764</v>
      </c>
      <c r="W14" s="9">
        <v>18.2</v>
      </c>
      <c r="X14" s="14"/>
      <c r="Y14" s="14"/>
      <c r="Z14" s="14"/>
      <c r="AA14" s="14"/>
      <c r="AB14" s="14"/>
    </row>
    <row r="15" spans="18:28" x14ac:dyDescent="0.25">
      <c r="R15" s="4">
        <v>43698</v>
      </c>
      <c r="S15" s="9">
        <v>17.79</v>
      </c>
      <c r="T15" s="4">
        <v>43732</v>
      </c>
      <c r="U15" s="9">
        <v>18.809999999999999</v>
      </c>
      <c r="V15" s="4">
        <v>43769</v>
      </c>
      <c r="W15" s="9">
        <v>18.88</v>
      </c>
      <c r="X15" s="14"/>
      <c r="Y15" s="14"/>
      <c r="Z15" s="14"/>
      <c r="AA15" s="14"/>
      <c r="AB15" s="14"/>
    </row>
    <row r="16" spans="18:28" x14ac:dyDescent="0.25">
      <c r="R16" s="4">
        <v>43700</v>
      </c>
      <c r="S16" s="9">
        <v>18.48</v>
      </c>
      <c r="T16" s="4">
        <v>43735</v>
      </c>
      <c r="U16" s="9">
        <v>19.350000000000001</v>
      </c>
      <c r="V16" s="4">
        <v>43772</v>
      </c>
      <c r="W16" s="9">
        <v>18.48</v>
      </c>
      <c r="X16" s="14"/>
      <c r="Y16" s="14"/>
      <c r="Z16" s="14"/>
      <c r="AA16" s="14"/>
      <c r="AB16" s="14"/>
    </row>
    <row r="17" spans="18:28" x14ac:dyDescent="0.25">
      <c r="R17" s="4">
        <v>43704</v>
      </c>
      <c r="S17" s="9">
        <v>18.809999999999999</v>
      </c>
      <c r="T17" s="4">
        <v>43740</v>
      </c>
      <c r="U17" s="9">
        <v>19</v>
      </c>
      <c r="V17" s="4">
        <v>43774</v>
      </c>
      <c r="W17" s="9">
        <v>18.55</v>
      </c>
      <c r="X17" s="14"/>
      <c r="Y17" s="14"/>
      <c r="Z17" s="14"/>
      <c r="AA17" s="14"/>
      <c r="AB17" s="14"/>
    </row>
    <row r="18" spans="18:28" x14ac:dyDescent="0.25">
      <c r="R18" s="4">
        <v>43706</v>
      </c>
      <c r="S18" s="9">
        <v>19.14</v>
      </c>
      <c r="T18" s="4">
        <v>43743</v>
      </c>
      <c r="U18" s="9">
        <v>18.52</v>
      </c>
      <c r="V18" s="4">
        <v>43776</v>
      </c>
      <c r="W18" s="9">
        <v>19.240000000000002</v>
      </c>
      <c r="X18" s="14"/>
      <c r="Y18" s="14"/>
      <c r="Z18" s="14"/>
      <c r="AA18" s="14"/>
      <c r="AB18" s="14"/>
    </row>
    <row r="19" spans="18:28" x14ac:dyDescent="0.25">
      <c r="R19" s="4">
        <v>43711</v>
      </c>
      <c r="S19" s="9">
        <v>18.64</v>
      </c>
      <c r="T19" s="4">
        <v>43745</v>
      </c>
      <c r="U19" s="9">
        <v>18.329999999999998</v>
      </c>
      <c r="V19" s="4">
        <v>43781</v>
      </c>
      <c r="W19" s="9">
        <v>18.64</v>
      </c>
      <c r="X19" s="14"/>
      <c r="Y19" s="14"/>
      <c r="Z19" s="14"/>
      <c r="AA19" s="14"/>
      <c r="AB19" s="14"/>
    </row>
    <row r="20" spans="18:28" x14ac:dyDescent="0.25">
      <c r="R20" s="4">
        <v>43714</v>
      </c>
      <c r="S20" s="9">
        <v>18.940000000000001</v>
      </c>
      <c r="T20" s="4">
        <v>43750</v>
      </c>
      <c r="U20" s="9">
        <v>18.5</v>
      </c>
      <c r="V20" s="4">
        <v>43785</v>
      </c>
      <c r="W20" s="9">
        <v>19.41</v>
      </c>
      <c r="X20" s="14"/>
      <c r="Y20" s="14"/>
      <c r="Z20" s="14"/>
      <c r="AA20" s="14"/>
      <c r="AB20" s="14"/>
    </row>
    <row r="21" spans="18:28" x14ac:dyDescent="0.25">
      <c r="R21" s="7" t="s">
        <v>35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4" spans="18:28" x14ac:dyDescent="0.25">
      <c r="R24" t="s">
        <v>56</v>
      </c>
      <c r="S24" s="43">
        <f>AVERAGE(S11:S20,U11:U20,W11:W20)</f>
        <v>18.621666666666666</v>
      </c>
    </row>
    <row r="25" spans="18:28" x14ac:dyDescent="0.25">
      <c r="R25" t="s">
        <v>57</v>
      </c>
      <c r="S25">
        <v>18.510000000000002</v>
      </c>
    </row>
    <row r="26" spans="18:28" x14ac:dyDescent="0.25">
      <c r="R26" t="s">
        <v>58</v>
      </c>
      <c r="S26">
        <f>S24/S25</f>
        <v>1.006032775076535</v>
      </c>
    </row>
    <row r="27" spans="18:28" x14ac:dyDescent="0.25">
      <c r="R27" t="s">
        <v>59</v>
      </c>
      <c r="S27">
        <f>STDEV(S11:S20,U11:U20,W11:W20)</f>
        <v>0.50013848656859727</v>
      </c>
    </row>
    <row r="28" spans="18:28" x14ac:dyDescent="0.25">
      <c r="R28" t="s">
        <v>60</v>
      </c>
      <c r="S28">
        <f>COUNT(S11:S20,U11:U20,W11:W20)</f>
        <v>30</v>
      </c>
    </row>
    <row r="30" spans="18:28" x14ac:dyDescent="0.25">
      <c r="R30" t="s">
        <v>61</v>
      </c>
      <c r="S30">
        <f>S26*SQRT(((S27)^2/(S28*(S24)^2))+((0.098/2)/18.51)^2)</f>
        <v>5.6061052245520654E-3</v>
      </c>
    </row>
    <row r="32" spans="18:28" x14ac:dyDescent="0.25">
      <c r="R32" t="s">
        <v>62</v>
      </c>
      <c r="S32">
        <f>ABS(1-S26)/S30</f>
        <v>1.0761080705574906</v>
      </c>
      <c r="T32" t="s">
        <v>63</v>
      </c>
    </row>
    <row r="33" spans="20:20" x14ac:dyDescent="0.25">
      <c r="T33" s="39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984BB-3149-4D1E-A2D3-11B112757B27}">
  <dimension ref="M4:T28"/>
  <sheetViews>
    <sheetView topLeftCell="D4" workbookViewId="0">
      <selection activeCell="O28" sqref="O28"/>
    </sheetView>
  </sheetViews>
  <sheetFormatPr defaultRowHeight="15" x14ac:dyDescent="0.25"/>
  <cols>
    <col min="15" max="15" width="20.42578125" bestFit="1" customWidth="1"/>
  </cols>
  <sheetData>
    <row r="4" spans="15:20" x14ac:dyDescent="0.25">
      <c r="O4" s="3" t="s">
        <v>27</v>
      </c>
      <c r="P4" s="4" t="s">
        <v>31</v>
      </c>
      <c r="Q4" s="3" t="s">
        <v>27</v>
      </c>
      <c r="R4" s="4" t="s">
        <v>31</v>
      </c>
      <c r="S4" s="3" t="s">
        <v>27</v>
      </c>
      <c r="T4" s="4" t="s">
        <v>31</v>
      </c>
    </row>
    <row r="5" spans="15:20" x14ac:dyDescent="0.25">
      <c r="O5" s="4">
        <v>43683</v>
      </c>
      <c r="P5" s="9">
        <v>17.88</v>
      </c>
      <c r="Q5" s="4">
        <v>43719</v>
      </c>
      <c r="R5" s="9">
        <v>19.36</v>
      </c>
      <c r="S5" s="4">
        <v>43754</v>
      </c>
      <c r="T5" s="9">
        <v>19.03</v>
      </c>
    </row>
    <row r="6" spans="15:20" x14ac:dyDescent="0.25">
      <c r="O6" s="4">
        <v>43688</v>
      </c>
      <c r="P6" s="9">
        <v>18.009999999999998</v>
      </c>
      <c r="Q6" s="4">
        <v>43723</v>
      </c>
      <c r="R6" s="9">
        <v>19.28</v>
      </c>
      <c r="S6" s="4">
        <v>43757</v>
      </c>
      <c r="T6" s="9">
        <v>18.3</v>
      </c>
    </row>
    <row r="7" spans="15:20" x14ac:dyDescent="0.25">
      <c r="O7" s="4">
        <v>43691</v>
      </c>
      <c r="P7" s="9">
        <v>18.38</v>
      </c>
      <c r="Q7" s="4">
        <v>43728</v>
      </c>
      <c r="R7" s="9">
        <v>18.240000000000002</v>
      </c>
      <c r="S7" s="4">
        <v>43762</v>
      </c>
      <c r="T7" s="9">
        <v>18.940000000000001</v>
      </c>
    </row>
    <row r="8" spans="15:20" x14ac:dyDescent="0.25">
      <c r="O8" s="4">
        <v>43695</v>
      </c>
      <c r="P8" s="9">
        <v>17.96</v>
      </c>
      <c r="Q8" s="4">
        <v>43730</v>
      </c>
      <c r="R8" s="9">
        <v>17.559999999999999</v>
      </c>
      <c r="S8" s="4">
        <v>43764</v>
      </c>
      <c r="T8" s="9">
        <v>18.2</v>
      </c>
    </row>
    <row r="9" spans="15:20" x14ac:dyDescent="0.25">
      <c r="O9" s="4">
        <v>43698</v>
      </c>
      <c r="P9" s="9">
        <v>17.79</v>
      </c>
      <c r="Q9" s="4">
        <v>43732</v>
      </c>
      <c r="R9" s="9">
        <v>18.809999999999999</v>
      </c>
      <c r="S9" s="4">
        <v>43769</v>
      </c>
      <c r="T9" s="9">
        <v>18.88</v>
      </c>
    </row>
    <row r="10" spans="15:20" x14ac:dyDescent="0.25">
      <c r="O10" s="4">
        <v>43700</v>
      </c>
      <c r="P10" s="9">
        <v>18.48</v>
      </c>
      <c r="Q10" s="4">
        <v>43735</v>
      </c>
      <c r="R10" s="9">
        <v>19.350000000000001</v>
      </c>
      <c r="S10" s="4">
        <v>43772</v>
      </c>
      <c r="T10" s="9">
        <v>18.48</v>
      </c>
    </row>
    <row r="11" spans="15:20" x14ac:dyDescent="0.25">
      <c r="O11" s="4">
        <v>43704</v>
      </c>
      <c r="P11" s="9">
        <v>18.809999999999999</v>
      </c>
      <c r="Q11" s="4">
        <v>43740</v>
      </c>
      <c r="R11" s="9">
        <v>19</v>
      </c>
      <c r="S11" s="4">
        <v>43774</v>
      </c>
      <c r="T11" s="9">
        <v>18.55</v>
      </c>
    </row>
    <row r="12" spans="15:20" x14ac:dyDescent="0.25">
      <c r="O12" s="4">
        <v>43706</v>
      </c>
      <c r="P12" s="9">
        <v>19.14</v>
      </c>
      <c r="Q12" s="4">
        <v>43743</v>
      </c>
      <c r="R12" s="9">
        <v>18.52</v>
      </c>
      <c r="S12" s="4">
        <v>43776</v>
      </c>
      <c r="T12" s="9">
        <v>19.240000000000002</v>
      </c>
    </row>
    <row r="13" spans="15:20" x14ac:dyDescent="0.25">
      <c r="O13" s="4">
        <v>43711</v>
      </c>
      <c r="P13" s="9">
        <v>18.64</v>
      </c>
      <c r="Q13" s="4">
        <v>43745</v>
      </c>
      <c r="R13" s="9">
        <v>18.329999999999998</v>
      </c>
      <c r="S13" s="4">
        <v>43781</v>
      </c>
      <c r="T13" s="9">
        <v>18.64</v>
      </c>
    </row>
    <row r="14" spans="15:20" x14ac:dyDescent="0.25">
      <c r="O14" s="4">
        <v>43714</v>
      </c>
      <c r="P14" s="9">
        <v>18.940000000000001</v>
      </c>
      <c r="Q14" s="4">
        <v>43750</v>
      </c>
      <c r="R14" s="9">
        <v>18.5</v>
      </c>
      <c r="S14" s="4">
        <v>43785</v>
      </c>
      <c r="T14" s="9">
        <v>19.41</v>
      </c>
    </row>
    <row r="15" spans="15:20" x14ac:dyDescent="0.25">
      <c r="O15" s="7" t="s">
        <v>35</v>
      </c>
      <c r="P15" s="16"/>
      <c r="Q15" s="16"/>
      <c r="R15" s="16"/>
      <c r="S15" s="16"/>
      <c r="T15" s="16"/>
    </row>
    <row r="17" spans="13:20" x14ac:dyDescent="0.25">
      <c r="P17" s="41">
        <f>P5/18.51</f>
        <v>0.96596434359805494</v>
      </c>
      <c r="R17" s="41">
        <f>R5/18.51</f>
        <v>1.0459211237169097</v>
      </c>
      <c r="T17" s="41">
        <f>T5/18.51</f>
        <v>1.0280929227444624</v>
      </c>
    </row>
    <row r="18" spans="13:20" x14ac:dyDescent="0.25">
      <c r="P18" s="41">
        <f t="shared" ref="P18:R26" si="0">P6/18.51</f>
        <v>0.97298757428417049</v>
      </c>
      <c r="R18" s="41">
        <f t="shared" si="0"/>
        <v>1.041599135602377</v>
      </c>
      <c r="T18" s="41">
        <f t="shared" ref="T18" si="1">T6/18.51</f>
        <v>0.98865478119935168</v>
      </c>
    </row>
    <row r="19" spans="13:20" x14ac:dyDescent="0.25">
      <c r="P19" s="41">
        <f t="shared" si="0"/>
        <v>0.99297676931388423</v>
      </c>
      <c r="R19" s="41">
        <f t="shared" si="0"/>
        <v>0.98541329011345224</v>
      </c>
      <c r="T19" s="41">
        <f t="shared" ref="T19" si="2">T7/18.51</f>
        <v>1.0232306861156131</v>
      </c>
    </row>
    <row r="20" spans="13:20" x14ac:dyDescent="0.25">
      <c r="M20" t="s">
        <v>64</v>
      </c>
      <c r="N20" s="44">
        <f>AVERAGE(P17:T26)</f>
        <v>1.0060327750765352</v>
      </c>
      <c r="P20" s="41">
        <f t="shared" si="0"/>
        <v>0.97028633171258771</v>
      </c>
      <c r="R20" s="41">
        <f t="shared" si="0"/>
        <v>0.94867639113992419</v>
      </c>
      <c r="T20" s="41">
        <f t="shared" ref="T20" si="3">T8/18.51</f>
        <v>0.98325229605618569</v>
      </c>
    </row>
    <row r="21" spans="13:20" x14ac:dyDescent="0.25">
      <c r="M21" t="s">
        <v>65</v>
      </c>
      <c r="N21">
        <f>STDEV(P17:T26)</f>
        <v>2.7019907432123031E-2</v>
      </c>
      <c r="P21" s="41">
        <f t="shared" si="0"/>
        <v>0.96110210696920573</v>
      </c>
      <c r="R21" s="41">
        <f t="shared" si="0"/>
        <v>1.0162074554294973</v>
      </c>
      <c r="T21" s="41">
        <f t="shared" ref="T21" si="4">T9/18.51</f>
        <v>1.0199891950297135</v>
      </c>
    </row>
    <row r="22" spans="13:20" x14ac:dyDescent="0.25">
      <c r="M22" t="s">
        <v>66</v>
      </c>
      <c r="N22">
        <f>TINV(0.05,N23-1)</f>
        <v>2.0452296421327048</v>
      </c>
      <c r="P22" s="41">
        <f t="shared" si="0"/>
        <v>0.99837925445705022</v>
      </c>
      <c r="R22" s="41">
        <f t="shared" si="0"/>
        <v>1.0453808752025933</v>
      </c>
      <c r="T22" s="41">
        <f t="shared" ref="T22" si="5">T10/18.51</f>
        <v>0.99837925445705022</v>
      </c>
    </row>
    <row r="23" spans="13:20" x14ac:dyDescent="0.25">
      <c r="M23" t="s">
        <v>49</v>
      </c>
      <c r="N23">
        <f>COUNT(P17:T26)</f>
        <v>30</v>
      </c>
      <c r="P23" s="41">
        <f t="shared" si="0"/>
        <v>1.0162074554294973</v>
      </c>
      <c r="R23" s="41">
        <f t="shared" si="0"/>
        <v>1.0264721772015126</v>
      </c>
      <c r="T23" s="41">
        <f t="shared" ref="T23" si="6">T11/18.51</f>
        <v>1.0021609940572662</v>
      </c>
    </row>
    <row r="24" spans="13:20" x14ac:dyDescent="0.25">
      <c r="P24" s="41">
        <f t="shared" si="0"/>
        <v>1.0340356564019448</v>
      </c>
      <c r="R24" s="41">
        <f t="shared" si="0"/>
        <v>1.0005402485143164</v>
      </c>
      <c r="T24" s="41">
        <f t="shared" ref="T24" si="7">T12/18.51</f>
        <v>1.0394381415451108</v>
      </c>
    </row>
    <row r="25" spans="13:20" x14ac:dyDescent="0.25">
      <c r="M25" t="s">
        <v>67</v>
      </c>
      <c r="O25" s="45">
        <f>N20+(N22*N21/SQRT(N23))</f>
        <v>1.0161221743263258</v>
      </c>
      <c r="P25" s="41">
        <f t="shared" si="0"/>
        <v>1.0070232306861155</v>
      </c>
      <c r="R25" s="41">
        <f t="shared" si="0"/>
        <v>0.99027552674230124</v>
      </c>
      <c r="T25" s="41">
        <f t="shared" ref="T25" si="8">T13/18.51</f>
        <v>1.0070232306861155</v>
      </c>
    </row>
    <row r="26" spans="13:20" x14ac:dyDescent="0.25">
      <c r="P26" s="41">
        <f t="shared" si="0"/>
        <v>1.0232306861156131</v>
      </c>
      <c r="R26" s="41">
        <f t="shared" si="0"/>
        <v>0.99945975148568333</v>
      </c>
      <c r="T26" s="41">
        <f t="shared" ref="T26" si="9">T14/18.51</f>
        <v>1.0486223662884926</v>
      </c>
    </row>
    <row r="27" spans="13:20" x14ac:dyDescent="0.25">
      <c r="M27" t="s">
        <v>68</v>
      </c>
      <c r="O27" s="46">
        <f>N20-(N22*N21/SQRT(N23))</f>
        <v>0.99594337582674464</v>
      </c>
    </row>
    <row r="28" spans="13:20" x14ac:dyDescent="0.25">
      <c r="O28" s="39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14016-280E-478C-BA6C-15189E0B84D8}">
  <dimension ref="D14:G23"/>
  <sheetViews>
    <sheetView zoomScale="115" zoomScaleNormal="115" workbookViewId="0">
      <selection activeCell="G23" sqref="G23"/>
    </sheetView>
  </sheetViews>
  <sheetFormatPr defaultRowHeight="15" x14ac:dyDescent="0.25"/>
  <cols>
    <col min="4" max="4" width="15.85546875" customWidth="1"/>
  </cols>
  <sheetData>
    <row r="14" spans="4:5" x14ac:dyDescent="0.25">
      <c r="D14" t="s">
        <v>70</v>
      </c>
      <c r="E14" s="43">
        <f>Anexo!H34/22.535</f>
        <v>6.7752645919081422E-2</v>
      </c>
    </row>
    <row r="16" spans="4:5" x14ac:dyDescent="0.25">
      <c r="D16" t="s">
        <v>69</v>
      </c>
      <c r="E16">
        <f>Q4_option1!S30/1</f>
        <v>5.6061052245520654E-3</v>
      </c>
    </row>
    <row r="18" spans="4:7" x14ac:dyDescent="0.25">
      <c r="D18" t="s">
        <v>72</v>
      </c>
      <c r="E18">
        <f>22.535*SQRT((E14)^2+(E16)^2)</f>
        <v>1.5320236147278907</v>
      </c>
    </row>
    <row r="20" spans="4:7" x14ac:dyDescent="0.25">
      <c r="D20" t="s">
        <v>73</v>
      </c>
      <c r="E20">
        <f>E18*2</f>
        <v>3.0640472294557815</v>
      </c>
    </row>
    <row r="22" spans="4:7" x14ac:dyDescent="0.25">
      <c r="G22" s="40" t="s">
        <v>74</v>
      </c>
    </row>
    <row r="23" spans="4:7" x14ac:dyDescent="0.25">
      <c r="G23" s="3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Anexo</vt:lpstr>
      <vt:lpstr>Q2.1</vt:lpstr>
      <vt:lpstr>Q2.2</vt:lpstr>
      <vt:lpstr>Q3</vt:lpstr>
      <vt:lpstr>Q4_option1</vt:lpstr>
      <vt:lpstr>Q4_option2</vt:lpstr>
      <vt:lpstr>Q5</vt:lpstr>
      <vt:lpstr>Anexo!Print_Area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Bettencourt da Silva</dc:creator>
  <cp:lastModifiedBy>Ricardo Bettencourt da Silva</cp:lastModifiedBy>
  <cp:lastPrinted>2020-01-18T22:14:49Z</cp:lastPrinted>
  <dcterms:created xsi:type="dcterms:W3CDTF">2020-01-17T17:44:28Z</dcterms:created>
  <dcterms:modified xsi:type="dcterms:W3CDTF">2020-01-29T13:16:47Z</dcterms:modified>
</cp:coreProperties>
</file>